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tdasgupta\Documents\HBE project\PBM\Sample PTNP Templates\"/>
    </mc:Choice>
  </mc:AlternateContent>
  <xr:revisionPtr revIDLastSave="0" documentId="13_ncr:1_{A70DDC24-33CA-486E-9680-62D5DBA5038A}" xr6:coauthVersionLast="47" xr6:coauthVersionMax="47" xr10:uidLastSave="{00000000-0000-0000-0000-000000000000}"/>
  <bookViews>
    <workbookView xWindow="28680" yWindow="-120" windowWidth="29040" windowHeight="15720" activeTab="1" xr2:uid="{00000000-000D-0000-FFFF-FFFF00000000}"/>
  </bookViews>
  <sheets>
    <sheet name="Overview" sheetId="6" r:id="rId1"/>
    <sheet name="2025 R2 Industry Suggestions" sheetId="1" r:id="rId2"/>
  </sheets>
  <externalReferences>
    <externalReference r:id="rId3"/>
  </externalReferences>
  <definedNames>
    <definedName name="_xlnm._FilterDatabase" localSheetId="1" hidden="1">'2025 R2 Industry Suggestions'!$A$3:$XFB$4995</definedName>
    <definedName name="_xlnm.Criteria">[1]TaxonomyMap!$A$1:$Z$1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 r="D9" i="1"/>
  <c r="D8" i="1"/>
  <c r="D7" i="1"/>
  <c r="D729" i="1"/>
  <c r="D359" i="1"/>
  <c r="D115" i="1"/>
  <c r="D1794" i="1"/>
  <c r="D18" i="1"/>
  <c r="D3143" i="1"/>
  <c r="D4699" i="1"/>
  <c r="D1387" i="1"/>
  <c r="D1380" i="1"/>
  <c r="D1366" i="1"/>
  <c r="D1053" i="1"/>
  <c r="D1041" i="1"/>
  <c r="D251" i="1"/>
  <c r="D154" i="1"/>
  <c r="D4999" i="1"/>
  <c r="D4998" i="1"/>
  <c r="D4997" i="1"/>
  <c r="D4996" i="1"/>
  <c r="D4995" i="1"/>
  <c r="D4994" i="1"/>
  <c r="D4993" i="1"/>
  <c r="D4992" i="1"/>
  <c r="D4991" i="1"/>
  <c r="D4990" i="1"/>
  <c r="D4989" i="1"/>
  <c r="D4988" i="1"/>
  <c r="D4987" i="1"/>
  <c r="D4986" i="1"/>
  <c r="D4985" i="1"/>
  <c r="D4984" i="1"/>
  <c r="D4983" i="1"/>
  <c r="D4982" i="1"/>
  <c r="D4981" i="1"/>
  <c r="D4980" i="1"/>
  <c r="D4979" i="1"/>
  <c r="D4978" i="1"/>
  <c r="D4977" i="1"/>
  <c r="D4976" i="1"/>
  <c r="D4975" i="1"/>
  <c r="D4974" i="1"/>
  <c r="D4973" i="1"/>
  <c r="D4972" i="1"/>
  <c r="D4971" i="1"/>
  <c r="D4970" i="1"/>
  <c r="D4969" i="1"/>
  <c r="D4968" i="1"/>
  <c r="D4967" i="1"/>
  <c r="D4966" i="1"/>
  <c r="D4965" i="1"/>
  <c r="D4964" i="1"/>
  <c r="D4963" i="1"/>
  <c r="D4962" i="1"/>
  <c r="D4961" i="1"/>
  <c r="D4960" i="1"/>
  <c r="D4959" i="1"/>
  <c r="D4958" i="1"/>
  <c r="D4957" i="1"/>
  <c r="D4956" i="1"/>
  <c r="D4955" i="1"/>
  <c r="D4954" i="1"/>
  <c r="D4953" i="1"/>
  <c r="D4952" i="1"/>
  <c r="D4951" i="1"/>
  <c r="D4950" i="1"/>
  <c r="D4949" i="1"/>
  <c r="D4948" i="1"/>
  <c r="D4947" i="1"/>
  <c r="D4946" i="1"/>
  <c r="D4945" i="1"/>
  <c r="D4944" i="1"/>
  <c r="D4943" i="1"/>
  <c r="D4942" i="1"/>
  <c r="D4941" i="1"/>
  <c r="D4940" i="1"/>
  <c r="D4939" i="1"/>
  <c r="D4938" i="1"/>
  <c r="D4937" i="1"/>
  <c r="D4936" i="1"/>
  <c r="D4935" i="1"/>
  <c r="D4934" i="1"/>
  <c r="D4933" i="1"/>
  <c r="D4932" i="1"/>
  <c r="D4931" i="1"/>
  <c r="D4930" i="1"/>
  <c r="D4929" i="1"/>
  <c r="D4928" i="1"/>
  <c r="D4927" i="1"/>
  <c r="D4926" i="1"/>
  <c r="D4925" i="1"/>
  <c r="D4924" i="1"/>
  <c r="D4923" i="1"/>
  <c r="D4922" i="1"/>
  <c r="D4921" i="1"/>
  <c r="D4920" i="1"/>
  <c r="D4919" i="1"/>
  <c r="D4918" i="1"/>
  <c r="D4917" i="1"/>
  <c r="D4916" i="1"/>
  <c r="D4915" i="1"/>
  <c r="D4914" i="1"/>
  <c r="D4913" i="1"/>
  <c r="D4912" i="1"/>
  <c r="D4911" i="1"/>
  <c r="D4910" i="1"/>
  <c r="D4909" i="1"/>
  <c r="D4908" i="1"/>
  <c r="D4907" i="1"/>
  <c r="D4906" i="1"/>
  <c r="D4905" i="1"/>
  <c r="D4904" i="1"/>
  <c r="D4903" i="1"/>
  <c r="D4902" i="1"/>
  <c r="D4901" i="1"/>
  <c r="D4900" i="1"/>
  <c r="D4899" i="1"/>
  <c r="D4898" i="1"/>
  <c r="D4897" i="1"/>
  <c r="D4896" i="1"/>
  <c r="D4895" i="1"/>
  <c r="D4894" i="1"/>
  <c r="D4893" i="1"/>
  <c r="D4892" i="1"/>
  <c r="D4891" i="1"/>
  <c r="D4890" i="1"/>
  <c r="D4889" i="1"/>
  <c r="D4888" i="1"/>
  <c r="D4887" i="1"/>
  <c r="D4886" i="1"/>
  <c r="D4885" i="1"/>
  <c r="D4884" i="1"/>
  <c r="D4883" i="1"/>
  <c r="D4882" i="1"/>
  <c r="D4881" i="1"/>
  <c r="D4880" i="1"/>
  <c r="D4879" i="1"/>
  <c r="D4878" i="1"/>
  <c r="D4877" i="1"/>
  <c r="D4876" i="1"/>
  <c r="D4875" i="1"/>
  <c r="D4874" i="1"/>
  <c r="D4873" i="1"/>
  <c r="D4872" i="1"/>
  <c r="D4871" i="1"/>
  <c r="D4870" i="1"/>
  <c r="D4869" i="1"/>
  <c r="D4868" i="1"/>
  <c r="D4867" i="1"/>
  <c r="D4866" i="1"/>
  <c r="D4865" i="1"/>
  <c r="D4864" i="1"/>
  <c r="D4863" i="1"/>
  <c r="D4862" i="1"/>
  <c r="D4861" i="1"/>
  <c r="D4860" i="1"/>
  <c r="D4859" i="1"/>
  <c r="D4858" i="1"/>
  <c r="D4857" i="1"/>
  <c r="D4856" i="1"/>
  <c r="D4855" i="1"/>
  <c r="D4854" i="1"/>
  <c r="D4853" i="1"/>
  <c r="D4852" i="1"/>
  <c r="D4851" i="1"/>
  <c r="D4850" i="1"/>
  <c r="D4849" i="1"/>
  <c r="D4848" i="1"/>
  <c r="D4847" i="1"/>
  <c r="D4846" i="1"/>
  <c r="D4845" i="1"/>
  <c r="D4844" i="1"/>
  <c r="D4843" i="1"/>
  <c r="D4842" i="1"/>
  <c r="D4841" i="1"/>
  <c r="D4840" i="1"/>
  <c r="D4839" i="1"/>
  <c r="D4838" i="1"/>
  <c r="D4837" i="1"/>
  <c r="D4836" i="1"/>
  <c r="D4835" i="1"/>
  <c r="D4834" i="1"/>
  <c r="D4833" i="1"/>
  <c r="D4832" i="1"/>
  <c r="D4831" i="1"/>
  <c r="D4830" i="1"/>
  <c r="D4829" i="1"/>
  <c r="D4828" i="1"/>
  <c r="D4827" i="1"/>
  <c r="D4826" i="1"/>
  <c r="D4825" i="1"/>
  <c r="D4824" i="1"/>
  <c r="D4823" i="1"/>
  <c r="D4822" i="1"/>
  <c r="D4821" i="1"/>
  <c r="D4820" i="1"/>
  <c r="D4819" i="1"/>
  <c r="D4818" i="1"/>
  <c r="D4817" i="1"/>
  <c r="D4816" i="1"/>
  <c r="D4815" i="1"/>
  <c r="D4814" i="1"/>
  <c r="D4813" i="1"/>
  <c r="D4812" i="1"/>
  <c r="D4811" i="1"/>
  <c r="D4810" i="1"/>
  <c r="D4809" i="1"/>
  <c r="D4808" i="1"/>
  <c r="D4807" i="1"/>
  <c r="D4806" i="1"/>
  <c r="D4805" i="1"/>
  <c r="D4804" i="1"/>
  <c r="D4803" i="1"/>
  <c r="D4802" i="1"/>
  <c r="D4801" i="1"/>
  <c r="D4800" i="1"/>
  <c r="D4799" i="1"/>
  <c r="D4798" i="1"/>
  <c r="D4797" i="1"/>
  <c r="D4796" i="1"/>
  <c r="D4795" i="1"/>
  <c r="D4794" i="1"/>
  <c r="D4793" i="1"/>
  <c r="D4792" i="1"/>
  <c r="D4791" i="1"/>
  <c r="D4790" i="1"/>
  <c r="D4789" i="1"/>
  <c r="D4788" i="1"/>
  <c r="D4787" i="1"/>
  <c r="D4786" i="1"/>
  <c r="D4785" i="1"/>
  <c r="D4784" i="1"/>
  <c r="D4783" i="1"/>
  <c r="D4782" i="1"/>
  <c r="D4781" i="1"/>
  <c r="D4780" i="1"/>
  <c r="D4779" i="1"/>
  <c r="D4778" i="1"/>
  <c r="D4777" i="1"/>
  <c r="D4776" i="1"/>
  <c r="D4775" i="1"/>
  <c r="D4774" i="1"/>
  <c r="D4773" i="1"/>
  <c r="D4772" i="1"/>
  <c r="D4771" i="1"/>
  <c r="D4770" i="1"/>
  <c r="D4769" i="1"/>
  <c r="D4768" i="1"/>
  <c r="D4767" i="1"/>
  <c r="D4766" i="1"/>
  <c r="D4765" i="1"/>
  <c r="D4764" i="1"/>
  <c r="D4763" i="1"/>
  <c r="D4762" i="1"/>
  <c r="D4761" i="1"/>
  <c r="D4760" i="1"/>
  <c r="D4759" i="1"/>
  <c r="D4758" i="1"/>
  <c r="D4757" i="1"/>
  <c r="D4756" i="1"/>
  <c r="D4755" i="1"/>
  <c r="D4754" i="1"/>
  <c r="D4753" i="1"/>
  <c r="D4752" i="1"/>
  <c r="D4751" i="1"/>
  <c r="D4750" i="1"/>
  <c r="D4749" i="1"/>
  <c r="D4748" i="1"/>
  <c r="D4747" i="1"/>
  <c r="D4746" i="1"/>
  <c r="D4745" i="1"/>
  <c r="D4744" i="1"/>
  <c r="D4743" i="1"/>
  <c r="D4742" i="1"/>
  <c r="D4741" i="1"/>
  <c r="D4740" i="1"/>
  <c r="D4739" i="1"/>
  <c r="D4738" i="1"/>
  <c r="D4737" i="1"/>
  <c r="D4736" i="1"/>
  <c r="D4735" i="1"/>
  <c r="D4734" i="1"/>
  <c r="D4733" i="1"/>
  <c r="D4732" i="1"/>
  <c r="D4731" i="1"/>
  <c r="D4730" i="1"/>
  <c r="D4729" i="1"/>
  <c r="D4728" i="1"/>
  <c r="D4727" i="1"/>
  <c r="D4726" i="1"/>
  <c r="D4725" i="1"/>
  <c r="D4724" i="1"/>
  <c r="D4723" i="1"/>
  <c r="D4722" i="1"/>
  <c r="D4721" i="1"/>
  <c r="D4720" i="1"/>
  <c r="D4719" i="1"/>
  <c r="D4718" i="1"/>
  <c r="D4717" i="1"/>
  <c r="D4716" i="1"/>
  <c r="D4715" i="1"/>
  <c r="D4714" i="1"/>
  <c r="D4713" i="1"/>
  <c r="D4712" i="1"/>
  <c r="D4711" i="1"/>
  <c r="D4710" i="1"/>
  <c r="D4709" i="1"/>
  <c r="D4708" i="1"/>
  <c r="D4707" i="1"/>
  <c r="D4706" i="1"/>
  <c r="D4705" i="1"/>
  <c r="D4704" i="1"/>
  <c r="D4703" i="1"/>
  <c r="D4702" i="1"/>
  <c r="D4701" i="1"/>
  <c r="D4700" i="1"/>
  <c r="D4698" i="1"/>
  <c r="D4697" i="1"/>
  <c r="D4696" i="1"/>
  <c r="D4695" i="1"/>
  <c r="D4694" i="1"/>
  <c r="D4693" i="1"/>
  <c r="D4692" i="1"/>
  <c r="D4691" i="1"/>
  <c r="D4690" i="1"/>
  <c r="D4689" i="1"/>
  <c r="D4688" i="1"/>
  <c r="D4687" i="1"/>
  <c r="D4686" i="1"/>
  <c r="D4685" i="1"/>
  <c r="D4684" i="1"/>
  <c r="D4683" i="1"/>
  <c r="D4682" i="1"/>
  <c r="D4681" i="1"/>
  <c r="D4680" i="1"/>
  <c r="D4679" i="1"/>
  <c r="D4678" i="1"/>
  <c r="D4677" i="1"/>
  <c r="D4676" i="1"/>
  <c r="D4675" i="1"/>
  <c r="D4674" i="1"/>
  <c r="D4673" i="1"/>
  <c r="D4672" i="1"/>
  <c r="D4671" i="1"/>
  <c r="D4670" i="1"/>
  <c r="D4669" i="1"/>
  <c r="D4668" i="1"/>
  <c r="D4667" i="1"/>
  <c r="D4666" i="1"/>
  <c r="D4665" i="1"/>
  <c r="D4664" i="1"/>
  <c r="D4663" i="1"/>
  <c r="D4662" i="1"/>
  <c r="D4661" i="1"/>
  <c r="D4660" i="1"/>
  <c r="D4659" i="1"/>
  <c r="D4658" i="1"/>
  <c r="D4657" i="1"/>
  <c r="D4656" i="1"/>
  <c r="D4655" i="1"/>
  <c r="D4654" i="1"/>
  <c r="D4653" i="1"/>
  <c r="D4652" i="1"/>
  <c r="D4651" i="1"/>
  <c r="D4650" i="1"/>
  <c r="D4649" i="1"/>
  <c r="D4648" i="1"/>
  <c r="D4647" i="1"/>
  <c r="D4646" i="1"/>
  <c r="D4645" i="1"/>
  <c r="D4644" i="1"/>
  <c r="D4643" i="1"/>
  <c r="D4642" i="1"/>
  <c r="D4641" i="1"/>
  <c r="D4640" i="1"/>
  <c r="D4639" i="1"/>
  <c r="D4638" i="1"/>
  <c r="D4637" i="1"/>
  <c r="D4636" i="1"/>
  <c r="D4635" i="1"/>
  <c r="D4634" i="1"/>
  <c r="D4633" i="1"/>
  <c r="D4632" i="1"/>
  <c r="D4631" i="1"/>
  <c r="D4630" i="1"/>
  <c r="D4629" i="1"/>
  <c r="D4628" i="1"/>
  <c r="D4627" i="1"/>
  <c r="D4626" i="1"/>
  <c r="D4625" i="1"/>
  <c r="D4624" i="1"/>
  <c r="D4623" i="1"/>
  <c r="D4622" i="1"/>
  <c r="D4621" i="1"/>
  <c r="D4620" i="1"/>
  <c r="D4619" i="1"/>
  <c r="D4618" i="1"/>
  <c r="D4617" i="1"/>
  <c r="D4616" i="1"/>
  <c r="D4615" i="1"/>
  <c r="D4614" i="1"/>
  <c r="D4613" i="1"/>
  <c r="D4612" i="1"/>
  <c r="D4611" i="1"/>
  <c r="D4610" i="1"/>
  <c r="D4609" i="1"/>
  <c r="D4608" i="1"/>
  <c r="D4607" i="1"/>
  <c r="D4606" i="1"/>
  <c r="D4605" i="1"/>
  <c r="D4604" i="1"/>
  <c r="D4603" i="1"/>
  <c r="D4602" i="1"/>
  <c r="D4601" i="1"/>
  <c r="D4600" i="1"/>
  <c r="D4599" i="1"/>
  <c r="D4598" i="1"/>
  <c r="D4597" i="1"/>
  <c r="D4596" i="1"/>
  <c r="D4595" i="1"/>
  <c r="D4594" i="1"/>
  <c r="D4593" i="1"/>
  <c r="D4592" i="1"/>
  <c r="D4591" i="1"/>
  <c r="D4590" i="1"/>
  <c r="D4589" i="1"/>
  <c r="D4588" i="1"/>
  <c r="D4587" i="1"/>
  <c r="D4586" i="1"/>
  <c r="D4585" i="1"/>
  <c r="D4584" i="1"/>
  <c r="D4583" i="1"/>
  <c r="D4582" i="1"/>
  <c r="D4581" i="1"/>
  <c r="D4580" i="1"/>
  <c r="D4579" i="1"/>
  <c r="D4578" i="1"/>
  <c r="D4577" i="1"/>
  <c r="D4576" i="1"/>
  <c r="D4575" i="1"/>
  <c r="D4574" i="1"/>
  <c r="D4573" i="1"/>
  <c r="D4572" i="1"/>
  <c r="D4571" i="1"/>
  <c r="D4570" i="1"/>
  <c r="D4569" i="1"/>
  <c r="D4568" i="1"/>
  <c r="D4567" i="1"/>
  <c r="D4566" i="1"/>
  <c r="D4565" i="1"/>
  <c r="D4564" i="1"/>
  <c r="D4563" i="1"/>
  <c r="D4562" i="1"/>
  <c r="D4561" i="1"/>
  <c r="D4560" i="1"/>
  <c r="D4559" i="1"/>
  <c r="D4558" i="1"/>
  <c r="D4557" i="1"/>
  <c r="D4556" i="1"/>
  <c r="D4555" i="1"/>
  <c r="D4554" i="1"/>
  <c r="D4553" i="1"/>
  <c r="D4552" i="1"/>
  <c r="D4551" i="1"/>
  <c r="D4550" i="1"/>
  <c r="D4549" i="1"/>
  <c r="D4548" i="1"/>
  <c r="D4547" i="1"/>
  <c r="D4546" i="1"/>
  <c r="D4545" i="1"/>
  <c r="D4544" i="1"/>
  <c r="D4543" i="1"/>
  <c r="D4542" i="1"/>
  <c r="D4541" i="1"/>
  <c r="D4540" i="1"/>
  <c r="D4539" i="1"/>
  <c r="D4538" i="1"/>
  <c r="D4537" i="1"/>
  <c r="D4536" i="1"/>
  <c r="D4535" i="1"/>
  <c r="D4534" i="1"/>
  <c r="D4533" i="1"/>
  <c r="D4532" i="1"/>
  <c r="D4531" i="1"/>
  <c r="D4530" i="1"/>
  <c r="D4529" i="1"/>
  <c r="D4528" i="1"/>
  <c r="D4527" i="1"/>
  <c r="D4526" i="1"/>
  <c r="D4525" i="1"/>
  <c r="D4524" i="1"/>
  <c r="D4523" i="1"/>
  <c r="D4522" i="1"/>
  <c r="D4521" i="1"/>
  <c r="D4520" i="1"/>
  <c r="D4519" i="1"/>
  <c r="D4518" i="1"/>
  <c r="D4517" i="1"/>
  <c r="D4516" i="1"/>
  <c r="D4515" i="1"/>
  <c r="D4514" i="1"/>
  <c r="D4513" i="1"/>
  <c r="D4512" i="1"/>
  <c r="D4511" i="1"/>
  <c r="D4510" i="1"/>
  <c r="D4509" i="1"/>
  <c r="D4508" i="1"/>
  <c r="D4507" i="1"/>
  <c r="D4506" i="1"/>
  <c r="D4505" i="1"/>
  <c r="D4504" i="1"/>
  <c r="D4503" i="1"/>
  <c r="D4502" i="1"/>
  <c r="D4501" i="1"/>
  <c r="D4500" i="1"/>
  <c r="D4499" i="1"/>
  <c r="D4498" i="1"/>
  <c r="D4497" i="1"/>
  <c r="D4496" i="1"/>
  <c r="D4495" i="1"/>
  <c r="D4494" i="1"/>
  <c r="D4493" i="1"/>
  <c r="D4492" i="1"/>
  <c r="D4491" i="1"/>
  <c r="D4490" i="1"/>
  <c r="D4489" i="1"/>
  <c r="D4488" i="1"/>
  <c r="D4487" i="1"/>
  <c r="D4486" i="1"/>
  <c r="D4485" i="1"/>
  <c r="D4484" i="1"/>
  <c r="D4483" i="1"/>
  <c r="D4482" i="1"/>
  <c r="D4481" i="1"/>
  <c r="D4480" i="1"/>
  <c r="D4479" i="1"/>
  <c r="D4478" i="1"/>
  <c r="D4477" i="1"/>
  <c r="D4476" i="1"/>
  <c r="D4475" i="1"/>
  <c r="D4474" i="1"/>
  <c r="D4473" i="1"/>
  <c r="D4472" i="1"/>
  <c r="D4471" i="1"/>
  <c r="D4470" i="1"/>
  <c r="D4469" i="1"/>
  <c r="D4468" i="1"/>
  <c r="D4467" i="1"/>
  <c r="D4466" i="1"/>
  <c r="D4465" i="1"/>
  <c r="D4464" i="1"/>
  <c r="D4463" i="1"/>
  <c r="D4462" i="1"/>
  <c r="D4461" i="1"/>
  <c r="D4460" i="1"/>
  <c r="D4459" i="1"/>
  <c r="D4458" i="1"/>
  <c r="D4457" i="1"/>
  <c r="D4456" i="1"/>
  <c r="D4455" i="1"/>
  <c r="D4454" i="1"/>
  <c r="D4453" i="1"/>
  <c r="D4452" i="1"/>
  <c r="D4451" i="1"/>
  <c r="D4450" i="1"/>
  <c r="D4449" i="1"/>
  <c r="D4448" i="1"/>
  <c r="D4447" i="1"/>
  <c r="D4446" i="1"/>
  <c r="D4445" i="1"/>
  <c r="D4444" i="1"/>
  <c r="D4443" i="1"/>
  <c r="D4442" i="1"/>
  <c r="D4441" i="1"/>
  <c r="D4440" i="1"/>
  <c r="D4439" i="1"/>
  <c r="D4438" i="1"/>
  <c r="D4437" i="1"/>
  <c r="D4436" i="1"/>
  <c r="D4435" i="1"/>
  <c r="D4434" i="1"/>
  <c r="D4433" i="1"/>
  <c r="D4432" i="1"/>
  <c r="D4431" i="1"/>
  <c r="D4430" i="1"/>
  <c r="D4429" i="1"/>
  <c r="D4428" i="1"/>
  <c r="D4427" i="1"/>
  <c r="D4426" i="1"/>
  <c r="D4425" i="1"/>
  <c r="D4424" i="1"/>
  <c r="D4423" i="1"/>
  <c r="D4422" i="1"/>
  <c r="D4421" i="1"/>
  <c r="D4420" i="1"/>
  <c r="D4419" i="1"/>
  <c r="D4418" i="1"/>
  <c r="D4417" i="1"/>
  <c r="D4416" i="1"/>
  <c r="D4415" i="1"/>
  <c r="D4414" i="1"/>
  <c r="D4413" i="1"/>
  <c r="D4412" i="1"/>
  <c r="D4411" i="1"/>
  <c r="D4410" i="1"/>
  <c r="D4409" i="1"/>
  <c r="D4408" i="1"/>
  <c r="D4407" i="1"/>
  <c r="D4406" i="1"/>
  <c r="D4405" i="1"/>
  <c r="D4404" i="1"/>
  <c r="D4403" i="1"/>
  <c r="D4402" i="1"/>
  <c r="D4401" i="1"/>
  <c r="D4400" i="1"/>
  <c r="D4399" i="1"/>
  <c r="D4398" i="1"/>
  <c r="D4397" i="1"/>
  <c r="D4396" i="1"/>
  <c r="D4395" i="1"/>
  <c r="D4394" i="1"/>
  <c r="D4393" i="1"/>
  <c r="D4392" i="1"/>
  <c r="D4391" i="1"/>
  <c r="D4390" i="1"/>
  <c r="D4389" i="1"/>
  <c r="D4388" i="1"/>
  <c r="D4387" i="1"/>
  <c r="D4386" i="1"/>
  <c r="D4385" i="1"/>
  <c r="D4384" i="1"/>
  <c r="D4383" i="1"/>
  <c r="D4382" i="1"/>
  <c r="D4381" i="1"/>
  <c r="D4380" i="1"/>
  <c r="D4379" i="1"/>
  <c r="D4378" i="1"/>
  <c r="D4377" i="1"/>
  <c r="D4376" i="1"/>
  <c r="D4375" i="1"/>
  <c r="D4374" i="1"/>
  <c r="D4373" i="1"/>
  <c r="D4372" i="1"/>
  <c r="D4371" i="1"/>
  <c r="D4370" i="1"/>
  <c r="D4369" i="1"/>
  <c r="D4368" i="1"/>
  <c r="D4367" i="1"/>
  <c r="D4366" i="1"/>
  <c r="D4365" i="1"/>
  <c r="D4364" i="1"/>
  <c r="D4363" i="1"/>
  <c r="D4362" i="1"/>
  <c r="D4361" i="1"/>
  <c r="D4360" i="1"/>
  <c r="D4359" i="1"/>
  <c r="D4358" i="1"/>
  <c r="D4357" i="1"/>
  <c r="D4356" i="1"/>
  <c r="D4355" i="1"/>
  <c r="D4354" i="1"/>
  <c r="D4353" i="1"/>
  <c r="D4352" i="1"/>
  <c r="D4351" i="1"/>
  <c r="D4350" i="1"/>
  <c r="D4349" i="1"/>
  <c r="D4348" i="1"/>
  <c r="D4347" i="1"/>
  <c r="D4346" i="1"/>
  <c r="D4345" i="1"/>
  <c r="D4344" i="1"/>
  <c r="D4343" i="1"/>
  <c r="D4342" i="1"/>
  <c r="D4341" i="1"/>
  <c r="D4340" i="1"/>
  <c r="D4339" i="1"/>
  <c r="D4338" i="1"/>
  <c r="D4337" i="1"/>
  <c r="D4336" i="1"/>
  <c r="D4335" i="1"/>
  <c r="D4334" i="1"/>
  <c r="D4333" i="1"/>
  <c r="D4332" i="1"/>
  <c r="D4331" i="1"/>
  <c r="D4330" i="1"/>
  <c r="D4329" i="1"/>
  <c r="D4328" i="1"/>
  <c r="D4327" i="1"/>
  <c r="D4326" i="1"/>
  <c r="D4325" i="1"/>
  <c r="D4324" i="1"/>
  <c r="D4323" i="1"/>
  <c r="D4322" i="1"/>
  <c r="D4321" i="1"/>
  <c r="D4320" i="1"/>
  <c r="D4319" i="1"/>
  <c r="D4318" i="1"/>
  <c r="D4317" i="1"/>
  <c r="D4316" i="1"/>
  <c r="D4315" i="1"/>
  <c r="D4314" i="1"/>
  <c r="D4313" i="1"/>
  <c r="D4312" i="1"/>
  <c r="D4311" i="1"/>
  <c r="D4310" i="1"/>
  <c r="D4309" i="1"/>
  <c r="D4308" i="1"/>
  <c r="D4307" i="1"/>
  <c r="D4306" i="1"/>
  <c r="D4305" i="1"/>
  <c r="D4304" i="1"/>
  <c r="D4303" i="1"/>
  <c r="D4302" i="1"/>
  <c r="D4301" i="1"/>
  <c r="D4300" i="1"/>
  <c r="D4299" i="1"/>
  <c r="D4298" i="1"/>
  <c r="D4297" i="1"/>
  <c r="D4296" i="1"/>
  <c r="D4295" i="1"/>
  <c r="D4294" i="1"/>
  <c r="D4293" i="1"/>
  <c r="D4292" i="1"/>
  <c r="D4291" i="1"/>
  <c r="D4290" i="1"/>
  <c r="D4289" i="1"/>
  <c r="D4288" i="1"/>
  <c r="D4287" i="1"/>
  <c r="D4286" i="1"/>
  <c r="D4285" i="1"/>
  <c r="D4284" i="1"/>
  <c r="D4283" i="1"/>
  <c r="D4282" i="1"/>
  <c r="D4281" i="1"/>
  <c r="D4280" i="1"/>
  <c r="D4279" i="1"/>
  <c r="D4278" i="1"/>
  <c r="D4277" i="1"/>
  <c r="D4276" i="1"/>
  <c r="D4275" i="1"/>
  <c r="D4274" i="1"/>
  <c r="D4273" i="1"/>
  <c r="D4272" i="1"/>
  <c r="D4271" i="1"/>
  <c r="D4270" i="1"/>
  <c r="D4269" i="1"/>
  <c r="D4268" i="1"/>
  <c r="D4267" i="1"/>
  <c r="D4266" i="1"/>
  <c r="D4265" i="1"/>
  <c r="D4264" i="1"/>
  <c r="D4263" i="1"/>
  <c r="D4262" i="1"/>
  <c r="D4261" i="1"/>
  <c r="D4260" i="1"/>
  <c r="D4259" i="1"/>
  <c r="D4258" i="1"/>
  <c r="D4257" i="1"/>
  <c r="D4256" i="1"/>
  <c r="D4255" i="1"/>
  <c r="D4254" i="1"/>
  <c r="D4253" i="1"/>
  <c r="D4252" i="1"/>
  <c r="D4251" i="1"/>
  <c r="D4250" i="1"/>
  <c r="D4249" i="1"/>
  <c r="D4248" i="1"/>
  <c r="D4247" i="1"/>
  <c r="D4246" i="1"/>
  <c r="D4245" i="1"/>
  <c r="D4244" i="1"/>
  <c r="D4243" i="1"/>
  <c r="D4242" i="1"/>
  <c r="D4241" i="1"/>
  <c r="D4240" i="1"/>
  <c r="D4239" i="1"/>
  <c r="D4238" i="1"/>
  <c r="D4237" i="1"/>
  <c r="D4236" i="1"/>
  <c r="D4235" i="1"/>
  <c r="D4234" i="1"/>
  <c r="D4233" i="1"/>
  <c r="D4232" i="1"/>
  <c r="D4231" i="1"/>
  <c r="D4230" i="1"/>
  <c r="D4229" i="1"/>
  <c r="D4228" i="1"/>
  <c r="D4227" i="1"/>
  <c r="D4226" i="1"/>
  <c r="D4225" i="1"/>
  <c r="D4224" i="1"/>
  <c r="D4223" i="1"/>
  <c r="D4222" i="1"/>
  <c r="D4221" i="1"/>
  <c r="D4220" i="1"/>
  <c r="D4219" i="1"/>
  <c r="D4218" i="1"/>
  <c r="D4217" i="1"/>
  <c r="D4216" i="1"/>
  <c r="D4215" i="1"/>
  <c r="D4214" i="1"/>
  <c r="D4213" i="1"/>
  <c r="D4212" i="1"/>
  <c r="D4211" i="1"/>
  <c r="D4210" i="1"/>
  <c r="D4209" i="1"/>
  <c r="D4208" i="1"/>
  <c r="D4207" i="1"/>
  <c r="D4206" i="1"/>
  <c r="D4205" i="1"/>
  <c r="D4204" i="1"/>
  <c r="D4203" i="1"/>
  <c r="D4202" i="1"/>
  <c r="D4201" i="1"/>
  <c r="D4200" i="1"/>
  <c r="D4199" i="1"/>
  <c r="D4198" i="1"/>
  <c r="D4197" i="1"/>
  <c r="D4196" i="1"/>
  <c r="D4195" i="1"/>
  <c r="D4194" i="1"/>
  <c r="D4193" i="1"/>
  <c r="D4192" i="1"/>
  <c r="D4191" i="1"/>
  <c r="D4190" i="1"/>
  <c r="D4189" i="1"/>
  <c r="D4188" i="1"/>
  <c r="D4187" i="1"/>
  <c r="D4186" i="1"/>
  <c r="D4185" i="1"/>
  <c r="D4184" i="1"/>
  <c r="D4183" i="1"/>
  <c r="D4182" i="1"/>
  <c r="D4181" i="1"/>
  <c r="D4180" i="1"/>
  <c r="D4179" i="1"/>
  <c r="D4178" i="1"/>
  <c r="D4177" i="1"/>
  <c r="D4176" i="1"/>
  <c r="D4175" i="1"/>
  <c r="D4174" i="1"/>
  <c r="D4173" i="1"/>
  <c r="D4172" i="1"/>
  <c r="D4171" i="1"/>
  <c r="D4170" i="1"/>
  <c r="D4169" i="1"/>
  <c r="D4168" i="1"/>
  <c r="D4167" i="1"/>
  <c r="D4166" i="1"/>
  <c r="D4165" i="1"/>
  <c r="D4164" i="1"/>
  <c r="D4163" i="1"/>
  <c r="D4162" i="1"/>
  <c r="D4161" i="1"/>
  <c r="D4160" i="1"/>
  <c r="D4159" i="1"/>
  <c r="D4158" i="1"/>
  <c r="D4157" i="1"/>
  <c r="D4156" i="1"/>
  <c r="D4155" i="1"/>
  <c r="D4154" i="1"/>
  <c r="D4153" i="1"/>
  <c r="D4152" i="1"/>
  <c r="D4151" i="1"/>
  <c r="D4150" i="1"/>
  <c r="D4149" i="1"/>
  <c r="D4148" i="1"/>
  <c r="D4147" i="1"/>
  <c r="D4146" i="1"/>
  <c r="D4145" i="1"/>
  <c r="D4144" i="1"/>
  <c r="D4143" i="1"/>
  <c r="D4142" i="1"/>
  <c r="D4141" i="1"/>
  <c r="D4140" i="1"/>
  <c r="D4139" i="1"/>
  <c r="D4138" i="1"/>
  <c r="D4137" i="1"/>
  <c r="D4136" i="1"/>
  <c r="D4135" i="1"/>
  <c r="D4134" i="1"/>
  <c r="D4133" i="1"/>
  <c r="D4132" i="1"/>
  <c r="D4131" i="1"/>
  <c r="D4130" i="1"/>
  <c r="D4129" i="1"/>
  <c r="D4128" i="1"/>
  <c r="D4127" i="1"/>
  <c r="D4126" i="1"/>
  <c r="D4125" i="1"/>
  <c r="D4124" i="1"/>
  <c r="D4123" i="1"/>
  <c r="D4122" i="1"/>
  <c r="D4121" i="1"/>
  <c r="D4120" i="1"/>
  <c r="D4119" i="1"/>
  <c r="D4118" i="1"/>
  <c r="D4117" i="1"/>
  <c r="D4116" i="1"/>
  <c r="D4115" i="1"/>
  <c r="D4114" i="1"/>
  <c r="D4113" i="1"/>
  <c r="D4112" i="1"/>
  <c r="D4111" i="1"/>
  <c r="D4110" i="1"/>
  <c r="D4109" i="1"/>
  <c r="D4108" i="1"/>
  <c r="D4107" i="1"/>
  <c r="D4106" i="1"/>
  <c r="D4105" i="1"/>
  <c r="D4104" i="1"/>
  <c r="D4103" i="1"/>
  <c r="D4102" i="1"/>
  <c r="D4101" i="1"/>
  <c r="D4100" i="1"/>
  <c r="D4099" i="1"/>
  <c r="D4098" i="1"/>
  <c r="D4097" i="1"/>
  <c r="D4096" i="1"/>
  <c r="D4095" i="1"/>
  <c r="D4094" i="1"/>
  <c r="D4093" i="1"/>
  <c r="D4092" i="1"/>
  <c r="D4091" i="1"/>
  <c r="D4090" i="1"/>
  <c r="D4089" i="1"/>
  <c r="D4088" i="1"/>
  <c r="D4087" i="1"/>
  <c r="D4086" i="1"/>
  <c r="D4085" i="1"/>
  <c r="D4084" i="1"/>
  <c r="D4083" i="1"/>
  <c r="D4082" i="1"/>
  <c r="D4081" i="1"/>
  <c r="D4080" i="1"/>
  <c r="D4079" i="1"/>
  <c r="D4078" i="1"/>
  <c r="D4077" i="1"/>
  <c r="D4076" i="1"/>
  <c r="D4075" i="1"/>
  <c r="D4074" i="1"/>
  <c r="D4073" i="1"/>
  <c r="D4072" i="1"/>
  <c r="D4071" i="1"/>
  <c r="D4070" i="1"/>
  <c r="D4069" i="1"/>
  <c r="D4068" i="1"/>
  <c r="D4067" i="1"/>
  <c r="D4066" i="1"/>
  <c r="D4065" i="1"/>
  <c r="D4064" i="1"/>
  <c r="D4063" i="1"/>
  <c r="D4062" i="1"/>
  <c r="D4061" i="1"/>
  <c r="D4060" i="1"/>
  <c r="D4059" i="1"/>
  <c r="D4058" i="1"/>
  <c r="D4057" i="1"/>
  <c r="D4056" i="1"/>
  <c r="D4055" i="1"/>
  <c r="D4054" i="1"/>
  <c r="D4053" i="1"/>
  <c r="D4052" i="1"/>
  <c r="D4051" i="1"/>
  <c r="D4050" i="1"/>
  <c r="D4049" i="1"/>
  <c r="D4048" i="1"/>
  <c r="D4047" i="1"/>
  <c r="D4046" i="1"/>
  <c r="D4045" i="1"/>
  <c r="D4044" i="1"/>
  <c r="D4043" i="1"/>
  <c r="D4042" i="1"/>
  <c r="D4041" i="1"/>
  <c r="D4040" i="1"/>
  <c r="D4039" i="1"/>
  <c r="D4038" i="1"/>
  <c r="D4037" i="1"/>
  <c r="D4036" i="1"/>
  <c r="D4035" i="1"/>
  <c r="D4034" i="1"/>
  <c r="D4033" i="1"/>
  <c r="D4032" i="1"/>
  <c r="D4031" i="1"/>
  <c r="D4030" i="1"/>
  <c r="D4029" i="1"/>
  <c r="D4028" i="1"/>
  <c r="D4027" i="1"/>
  <c r="D4026" i="1"/>
  <c r="D4025" i="1"/>
  <c r="D4024" i="1"/>
  <c r="D4023" i="1"/>
  <c r="D4022" i="1"/>
  <c r="D4021" i="1"/>
  <c r="D4020" i="1"/>
  <c r="D4019" i="1"/>
  <c r="D4018" i="1"/>
  <c r="D4017" i="1"/>
  <c r="D4016" i="1"/>
  <c r="D4015" i="1"/>
  <c r="D4014" i="1"/>
  <c r="D4013" i="1"/>
  <c r="D4012" i="1"/>
  <c r="D4011" i="1"/>
  <c r="D4010" i="1"/>
  <c r="D4009" i="1"/>
  <c r="D4008" i="1"/>
  <c r="D4007" i="1"/>
  <c r="D4006" i="1"/>
  <c r="D4005" i="1"/>
  <c r="D4004" i="1"/>
  <c r="D4003" i="1"/>
  <c r="D4002" i="1"/>
  <c r="D4001" i="1"/>
  <c r="D4000" i="1"/>
  <c r="D3999" i="1"/>
  <c r="D3998" i="1"/>
  <c r="D3997" i="1"/>
  <c r="D3996" i="1"/>
  <c r="D3995" i="1"/>
  <c r="D3994" i="1"/>
  <c r="D3993" i="1"/>
  <c r="D3992" i="1"/>
  <c r="D3991" i="1"/>
  <c r="D3990" i="1"/>
  <c r="D3989" i="1"/>
  <c r="D3988" i="1"/>
  <c r="D3987" i="1"/>
  <c r="D3986" i="1"/>
  <c r="D3985" i="1"/>
  <c r="D3984" i="1"/>
  <c r="D3983" i="1"/>
  <c r="D3982" i="1"/>
  <c r="D3981" i="1"/>
  <c r="D3980" i="1"/>
  <c r="D3979" i="1"/>
  <c r="D3978" i="1"/>
  <c r="D3977" i="1"/>
  <c r="D3976" i="1"/>
  <c r="D3975" i="1"/>
  <c r="D3974" i="1"/>
  <c r="D3973" i="1"/>
  <c r="D3972" i="1"/>
  <c r="D3971" i="1"/>
  <c r="D3970" i="1"/>
  <c r="D3969" i="1"/>
  <c r="D3968" i="1"/>
  <c r="D3967" i="1"/>
  <c r="D3966" i="1"/>
  <c r="D3965" i="1"/>
  <c r="D3964" i="1"/>
  <c r="D3963" i="1"/>
  <c r="D3962" i="1"/>
  <c r="D3961" i="1"/>
  <c r="D3960" i="1"/>
  <c r="D3959" i="1"/>
  <c r="D3958" i="1"/>
  <c r="D3957" i="1"/>
  <c r="D3956" i="1"/>
  <c r="D3955" i="1"/>
  <c r="D3954" i="1"/>
  <c r="D3953" i="1"/>
  <c r="D3952" i="1"/>
  <c r="D3951" i="1"/>
  <c r="D3950" i="1"/>
  <c r="D3949" i="1"/>
  <c r="D3948" i="1"/>
  <c r="D3947" i="1"/>
  <c r="D3946" i="1"/>
  <c r="D3945" i="1"/>
  <c r="D3944" i="1"/>
  <c r="D3943" i="1"/>
  <c r="D3942" i="1"/>
  <c r="D3941" i="1"/>
  <c r="D3940" i="1"/>
  <c r="D3939" i="1"/>
  <c r="D3938" i="1"/>
  <c r="D3937" i="1"/>
  <c r="D3936" i="1"/>
  <c r="D3935" i="1"/>
  <c r="D3934" i="1"/>
  <c r="D3933" i="1"/>
  <c r="D3932" i="1"/>
  <c r="D3931" i="1"/>
  <c r="D3930" i="1"/>
  <c r="D3929" i="1"/>
  <c r="D3928" i="1"/>
  <c r="D3927" i="1"/>
  <c r="D3926" i="1"/>
  <c r="D3925" i="1"/>
  <c r="D3924" i="1"/>
  <c r="D3923" i="1"/>
  <c r="D3922" i="1"/>
  <c r="D3921" i="1"/>
  <c r="D3920" i="1"/>
  <c r="D3919" i="1"/>
  <c r="D3918" i="1"/>
  <c r="D3917" i="1"/>
  <c r="D3916" i="1"/>
  <c r="D3915" i="1"/>
  <c r="D3914" i="1"/>
  <c r="D3913" i="1"/>
  <c r="D3912" i="1"/>
  <c r="D3911" i="1"/>
  <c r="D3910" i="1"/>
  <c r="D3909" i="1"/>
  <c r="D3908" i="1"/>
  <c r="D3907" i="1"/>
  <c r="D3906" i="1"/>
  <c r="D3905" i="1"/>
  <c r="D3904" i="1"/>
  <c r="D3903" i="1"/>
  <c r="D3902" i="1"/>
  <c r="D3901" i="1"/>
  <c r="D3900" i="1"/>
  <c r="D3899" i="1"/>
  <c r="D3898" i="1"/>
  <c r="D3897" i="1"/>
  <c r="D3896" i="1"/>
  <c r="D3895" i="1"/>
  <c r="D3894" i="1"/>
  <c r="D3893" i="1"/>
  <c r="D3892" i="1"/>
  <c r="D3891" i="1"/>
  <c r="D3890" i="1"/>
  <c r="D3889" i="1"/>
  <c r="D3888" i="1"/>
  <c r="D3887" i="1"/>
  <c r="D3886" i="1"/>
  <c r="D3885" i="1"/>
  <c r="D3884" i="1"/>
  <c r="D3883" i="1"/>
  <c r="D3882" i="1"/>
  <c r="D3881" i="1"/>
  <c r="D3880" i="1"/>
  <c r="D3879" i="1"/>
  <c r="D3878" i="1"/>
  <c r="D3877" i="1"/>
  <c r="D3876" i="1"/>
  <c r="D3875" i="1"/>
  <c r="D3874" i="1"/>
  <c r="D3873" i="1"/>
  <c r="D3872" i="1"/>
  <c r="D3871" i="1"/>
  <c r="D3870" i="1"/>
  <c r="D3869" i="1"/>
  <c r="D3868" i="1"/>
  <c r="D3867" i="1"/>
  <c r="D3866" i="1"/>
  <c r="D3865" i="1"/>
  <c r="D3864" i="1"/>
  <c r="D3863" i="1"/>
  <c r="D3862" i="1"/>
  <c r="D3861" i="1"/>
  <c r="D3860" i="1"/>
  <c r="D3859" i="1"/>
  <c r="D3858" i="1"/>
  <c r="D3857" i="1"/>
  <c r="D3856" i="1"/>
  <c r="D3855" i="1"/>
  <c r="D3854" i="1"/>
  <c r="D3853" i="1"/>
  <c r="D3852" i="1"/>
  <c r="D3851" i="1"/>
  <c r="D3850" i="1"/>
  <c r="D3849" i="1"/>
  <c r="D3848" i="1"/>
  <c r="D3847" i="1"/>
  <c r="D3846" i="1"/>
  <c r="D3845" i="1"/>
  <c r="D3844" i="1"/>
  <c r="D3843" i="1"/>
  <c r="D3842" i="1"/>
  <c r="D3841" i="1"/>
  <c r="D3840" i="1"/>
  <c r="D3839" i="1"/>
  <c r="D3838" i="1"/>
  <c r="D3837" i="1"/>
  <c r="D3836" i="1"/>
  <c r="D3835" i="1"/>
  <c r="D3834" i="1"/>
  <c r="D3833" i="1"/>
  <c r="D3832" i="1"/>
  <c r="D3831" i="1"/>
  <c r="D3830" i="1"/>
  <c r="D3829" i="1"/>
  <c r="D3828" i="1"/>
  <c r="D3827" i="1"/>
  <c r="D3826" i="1"/>
  <c r="D3825" i="1"/>
  <c r="D3824" i="1"/>
  <c r="D3823" i="1"/>
  <c r="D3822" i="1"/>
  <c r="D3821" i="1"/>
  <c r="D3820" i="1"/>
  <c r="D3819" i="1"/>
  <c r="D3818" i="1"/>
  <c r="D3817" i="1"/>
  <c r="D3816" i="1"/>
  <c r="D3815" i="1"/>
  <c r="D3814" i="1"/>
  <c r="D3813" i="1"/>
  <c r="D3812" i="1"/>
  <c r="D3811" i="1"/>
  <c r="D3810" i="1"/>
  <c r="D3809" i="1"/>
  <c r="D3808" i="1"/>
  <c r="D3807" i="1"/>
  <c r="D3806" i="1"/>
  <c r="D3805" i="1"/>
  <c r="D3804" i="1"/>
  <c r="D3803" i="1"/>
  <c r="D3802" i="1"/>
  <c r="D3801" i="1"/>
  <c r="D3800" i="1"/>
  <c r="D3799" i="1"/>
  <c r="D3798" i="1"/>
  <c r="D3797" i="1"/>
  <c r="D3796" i="1"/>
  <c r="D3795" i="1"/>
  <c r="D3794" i="1"/>
  <c r="D3793" i="1"/>
  <c r="D3792" i="1"/>
  <c r="D3791" i="1"/>
  <c r="D3790" i="1"/>
  <c r="D3789" i="1"/>
  <c r="D3788" i="1"/>
  <c r="D3787" i="1"/>
  <c r="D3786" i="1"/>
  <c r="D3785" i="1"/>
  <c r="D3784" i="1"/>
  <c r="D3783" i="1"/>
  <c r="D3782" i="1"/>
  <c r="D3781" i="1"/>
  <c r="D3780" i="1"/>
  <c r="D3779" i="1"/>
  <c r="D3778" i="1"/>
  <c r="D3777" i="1"/>
  <c r="D3776" i="1"/>
  <c r="D3775" i="1"/>
  <c r="D3774" i="1"/>
  <c r="D3773" i="1"/>
  <c r="D3772" i="1"/>
  <c r="D3771" i="1"/>
  <c r="D3770" i="1"/>
  <c r="D3769" i="1"/>
  <c r="D3768" i="1"/>
  <c r="D3767" i="1"/>
  <c r="D3766" i="1"/>
  <c r="D3765" i="1"/>
  <c r="D3764" i="1"/>
  <c r="D3763" i="1"/>
  <c r="D3762" i="1"/>
  <c r="D3761" i="1"/>
  <c r="D3760" i="1"/>
  <c r="D3759" i="1"/>
  <c r="D3758" i="1"/>
  <c r="D3757" i="1"/>
  <c r="D3756" i="1"/>
  <c r="D3755" i="1"/>
  <c r="D3754" i="1"/>
  <c r="D3753" i="1"/>
  <c r="D3752" i="1"/>
  <c r="D3751" i="1"/>
  <c r="D3750" i="1"/>
  <c r="D3749" i="1"/>
  <c r="D3748" i="1"/>
  <c r="D3747" i="1"/>
  <c r="D3746" i="1"/>
  <c r="D3745" i="1"/>
  <c r="D3744" i="1"/>
  <c r="D3743" i="1"/>
  <c r="D3742" i="1"/>
  <c r="D3741" i="1"/>
  <c r="D3740" i="1"/>
  <c r="D3739" i="1"/>
  <c r="D3738" i="1"/>
  <c r="D3737" i="1"/>
  <c r="D3736" i="1"/>
  <c r="D3735" i="1"/>
  <c r="D3734" i="1"/>
  <c r="D3733" i="1"/>
  <c r="D3732" i="1"/>
  <c r="D3731" i="1"/>
  <c r="D3730" i="1"/>
  <c r="D3729" i="1"/>
  <c r="D3728" i="1"/>
  <c r="D3727" i="1"/>
  <c r="D3726" i="1"/>
  <c r="D3725" i="1"/>
  <c r="D3724" i="1"/>
  <c r="D3723" i="1"/>
  <c r="D3722" i="1"/>
  <c r="D3721" i="1"/>
  <c r="D3720" i="1"/>
  <c r="D3719" i="1"/>
  <c r="D3718" i="1"/>
  <c r="D3717" i="1"/>
  <c r="D3716" i="1"/>
  <c r="D3715" i="1"/>
  <c r="D3714" i="1"/>
  <c r="D3713" i="1"/>
  <c r="D3712" i="1"/>
  <c r="D3711" i="1"/>
  <c r="D3710" i="1"/>
  <c r="D3709" i="1"/>
  <c r="D3708" i="1"/>
  <c r="D3707" i="1"/>
  <c r="D3706" i="1"/>
  <c r="D3705" i="1"/>
  <c r="D3704" i="1"/>
  <c r="D3703" i="1"/>
  <c r="D3702" i="1"/>
  <c r="D3701" i="1"/>
  <c r="D3700" i="1"/>
  <c r="D3699" i="1"/>
  <c r="D3698" i="1"/>
  <c r="D3697" i="1"/>
  <c r="D3696" i="1"/>
  <c r="D3695" i="1"/>
  <c r="D3694" i="1"/>
  <c r="D3693" i="1"/>
  <c r="D3692" i="1"/>
  <c r="D3691" i="1"/>
  <c r="D3690" i="1"/>
  <c r="D3689" i="1"/>
  <c r="D3688" i="1"/>
  <c r="D3687" i="1"/>
  <c r="D3686" i="1"/>
  <c r="D3685" i="1"/>
  <c r="D3684" i="1"/>
  <c r="D3683" i="1"/>
  <c r="D3682" i="1"/>
  <c r="D3681" i="1"/>
  <c r="D3680" i="1"/>
  <c r="D3679" i="1"/>
  <c r="D3678" i="1"/>
  <c r="D3677" i="1"/>
  <c r="D3676" i="1"/>
  <c r="D3675" i="1"/>
  <c r="D3674" i="1"/>
  <c r="D3673" i="1"/>
  <c r="D3672" i="1"/>
  <c r="D3671" i="1"/>
  <c r="D3670" i="1"/>
  <c r="D3669" i="1"/>
  <c r="D3668" i="1"/>
  <c r="D3667" i="1"/>
  <c r="D3666" i="1"/>
  <c r="D3665" i="1"/>
  <c r="D3664" i="1"/>
  <c r="D3663" i="1"/>
  <c r="D3662" i="1"/>
  <c r="D3661" i="1"/>
  <c r="D3660" i="1"/>
  <c r="D3659" i="1"/>
  <c r="D3658" i="1"/>
  <c r="D3657" i="1"/>
  <c r="D3656" i="1"/>
  <c r="D3655" i="1"/>
  <c r="D3654" i="1"/>
  <c r="D3653" i="1"/>
  <c r="D3652" i="1"/>
  <c r="D3651" i="1"/>
  <c r="D3650" i="1"/>
  <c r="D3649" i="1"/>
  <c r="D3648" i="1"/>
  <c r="D3647" i="1"/>
  <c r="D3646" i="1"/>
  <c r="D3645" i="1"/>
  <c r="D3644" i="1"/>
  <c r="D3643" i="1"/>
  <c r="D3642" i="1"/>
  <c r="D3641" i="1"/>
  <c r="D3640" i="1"/>
  <c r="D3639" i="1"/>
  <c r="D3638" i="1"/>
  <c r="D3637" i="1"/>
  <c r="D3636" i="1"/>
  <c r="D3635" i="1"/>
  <c r="D3634" i="1"/>
  <c r="D3633" i="1"/>
  <c r="D3632" i="1"/>
  <c r="D3631" i="1"/>
  <c r="D3630" i="1"/>
  <c r="D3629" i="1"/>
  <c r="D3628" i="1"/>
  <c r="D3627" i="1"/>
  <c r="D3626" i="1"/>
  <c r="D3625" i="1"/>
  <c r="D3624" i="1"/>
  <c r="D3623" i="1"/>
  <c r="D3622" i="1"/>
  <c r="D3621" i="1"/>
  <c r="D3620" i="1"/>
  <c r="D3619" i="1"/>
  <c r="D3618" i="1"/>
  <c r="D3617" i="1"/>
  <c r="D3616" i="1"/>
  <c r="D3615" i="1"/>
  <c r="D3614" i="1"/>
  <c r="D3613" i="1"/>
  <c r="D3612" i="1"/>
  <c r="D3611" i="1"/>
  <c r="D3610" i="1"/>
  <c r="D3609" i="1"/>
  <c r="D3608" i="1"/>
  <c r="D3607" i="1"/>
  <c r="D3606" i="1"/>
  <c r="D3605" i="1"/>
  <c r="D3604" i="1"/>
  <c r="D3603" i="1"/>
  <c r="D3602" i="1"/>
  <c r="D3601" i="1"/>
  <c r="D3600" i="1"/>
  <c r="D3599" i="1"/>
  <c r="D3598" i="1"/>
  <c r="D3597" i="1"/>
  <c r="D3596" i="1"/>
  <c r="D3595" i="1"/>
  <c r="D3594" i="1"/>
  <c r="D3593" i="1"/>
  <c r="D3592" i="1"/>
  <c r="D3591" i="1"/>
  <c r="D3590" i="1"/>
  <c r="D3589" i="1"/>
  <c r="D3588" i="1"/>
  <c r="D3587" i="1"/>
  <c r="D3586" i="1"/>
  <c r="D3585" i="1"/>
  <c r="D3584" i="1"/>
  <c r="D3583" i="1"/>
  <c r="D3582" i="1"/>
  <c r="D3581" i="1"/>
  <c r="D3580" i="1"/>
  <c r="D3579" i="1"/>
  <c r="D3578" i="1"/>
  <c r="D3577" i="1"/>
  <c r="D3576" i="1"/>
  <c r="D3575" i="1"/>
  <c r="D3574" i="1"/>
  <c r="D3573" i="1"/>
  <c r="D3572" i="1"/>
  <c r="D3571" i="1"/>
  <c r="D3570" i="1"/>
  <c r="D3569" i="1"/>
  <c r="D3568" i="1"/>
  <c r="D3567" i="1"/>
  <c r="D3566" i="1"/>
  <c r="D3565" i="1"/>
  <c r="D3564" i="1"/>
  <c r="D3563" i="1"/>
  <c r="D3562" i="1"/>
  <c r="D3561" i="1"/>
  <c r="D3560" i="1"/>
  <c r="D3559" i="1"/>
  <c r="D3558" i="1"/>
  <c r="D3557" i="1"/>
  <c r="D3556" i="1"/>
  <c r="D3555" i="1"/>
  <c r="D3554" i="1"/>
  <c r="D3553" i="1"/>
  <c r="D3552" i="1"/>
  <c r="D3551" i="1"/>
  <c r="D3550" i="1"/>
  <c r="D3549" i="1"/>
  <c r="D3548" i="1"/>
  <c r="D3547" i="1"/>
  <c r="D3546" i="1"/>
  <c r="D3545" i="1"/>
  <c r="D3544" i="1"/>
  <c r="D3543" i="1"/>
  <c r="D3542" i="1"/>
  <c r="D3541" i="1"/>
  <c r="D3540" i="1"/>
  <c r="D3539" i="1"/>
  <c r="D3538" i="1"/>
  <c r="D3537" i="1"/>
  <c r="D3536" i="1"/>
  <c r="D3535" i="1"/>
  <c r="D3534" i="1"/>
  <c r="D3533" i="1"/>
  <c r="D3532" i="1"/>
  <c r="D3531" i="1"/>
  <c r="D3530" i="1"/>
  <c r="D3529" i="1"/>
  <c r="D3528" i="1"/>
  <c r="D3527" i="1"/>
  <c r="D3526" i="1"/>
  <c r="D3525" i="1"/>
  <c r="D3524" i="1"/>
  <c r="D3523" i="1"/>
  <c r="D3522" i="1"/>
  <c r="D3521" i="1"/>
  <c r="D3520" i="1"/>
  <c r="D3519" i="1"/>
  <c r="D3518" i="1"/>
  <c r="D3517" i="1"/>
  <c r="D3516" i="1"/>
  <c r="D3515" i="1"/>
  <c r="D3514" i="1"/>
  <c r="D3513" i="1"/>
  <c r="D3512" i="1"/>
  <c r="D3511" i="1"/>
  <c r="D3510" i="1"/>
  <c r="D3509" i="1"/>
  <c r="D3508" i="1"/>
  <c r="D3507" i="1"/>
  <c r="D3506" i="1"/>
  <c r="D3505" i="1"/>
  <c r="D3504" i="1"/>
  <c r="D3503" i="1"/>
  <c r="D3502" i="1"/>
  <c r="D3501" i="1"/>
  <c r="D3500" i="1"/>
  <c r="D3499" i="1"/>
  <c r="D3498" i="1"/>
  <c r="D3497" i="1"/>
  <c r="D3496" i="1"/>
  <c r="D3495" i="1"/>
  <c r="D3494" i="1"/>
  <c r="D3493" i="1"/>
  <c r="D3492" i="1"/>
  <c r="D3491" i="1"/>
  <c r="D3490" i="1"/>
  <c r="D3489" i="1"/>
  <c r="D3488" i="1"/>
  <c r="D3487" i="1"/>
  <c r="D3486" i="1"/>
  <c r="D3485" i="1"/>
  <c r="D3484" i="1"/>
  <c r="D3483" i="1"/>
  <c r="D3482" i="1"/>
  <c r="D3481" i="1"/>
  <c r="D3480" i="1"/>
  <c r="D3479" i="1"/>
  <c r="D3478" i="1"/>
  <c r="D3477" i="1"/>
  <c r="D3476" i="1"/>
  <c r="D3475" i="1"/>
  <c r="D3474" i="1"/>
  <c r="D3473" i="1"/>
  <c r="D3472" i="1"/>
  <c r="D3471" i="1"/>
  <c r="D3470" i="1"/>
  <c r="D3469" i="1"/>
  <c r="D3468" i="1"/>
  <c r="D3467" i="1"/>
  <c r="D3466" i="1"/>
  <c r="D3465" i="1"/>
  <c r="D3464" i="1"/>
  <c r="D3463" i="1"/>
  <c r="D3462" i="1"/>
  <c r="D3461" i="1"/>
  <c r="D3460" i="1"/>
  <c r="D3459" i="1"/>
  <c r="D3458" i="1"/>
  <c r="D3457" i="1"/>
  <c r="D3456" i="1"/>
  <c r="D3455" i="1"/>
  <c r="D3454" i="1"/>
  <c r="D3453" i="1"/>
  <c r="D3452" i="1"/>
  <c r="D3451" i="1"/>
  <c r="D3450" i="1"/>
  <c r="D3449" i="1"/>
  <c r="D3448" i="1"/>
  <c r="D3447" i="1"/>
  <c r="D3446" i="1"/>
  <c r="D3445" i="1"/>
  <c r="D3444" i="1"/>
  <c r="D3443" i="1"/>
  <c r="D3442" i="1"/>
  <c r="D3441" i="1"/>
  <c r="D3440" i="1"/>
  <c r="D3439" i="1"/>
  <c r="D3438" i="1"/>
  <c r="D3437" i="1"/>
  <c r="D3436" i="1"/>
  <c r="D3435" i="1"/>
  <c r="D3434" i="1"/>
  <c r="D3433" i="1"/>
  <c r="D3432" i="1"/>
  <c r="D3431" i="1"/>
  <c r="D3430" i="1"/>
  <c r="D3429" i="1"/>
  <c r="D3428" i="1"/>
  <c r="D3427" i="1"/>
  <c r="D3426" i="1"/>
  <c r="D3425" i="1"/>
  <c r="D3424" i="1"/>
  <c r="D3423" i="1"/>
  <c r="D3422" i="1"/>
  <c r="D3421" i="1"/>
  <c r="D3420" i="1"/>
  <c r="D3419" i="1"/>
  <c r="D3418" i="1"/>
  <c r="D3417" i="1"/>
  <c r="D3416" i="1"/>
  <c r="D3415" i="1"/>
  <c r="D3414" i="1"/>
  <c r="D3413" i="1"/>
  <c r="D3412" i="1"/>
  <c r="D3411" i="1"/>
  <c r="D3410" i="1"/>
  <c r="D3409" i="1"/>
  <c r="D3408" i="1"/>
  <c r="D3407" i="1"/>
  <c r="D3406" i="1"/>
  <c r="D3405" i="1"/>
  <c r="D3404" i="1"/>
  <c r="D3403" i="1"/>
  <c r="D3402" i="1"/>
  <c r="D3401" i="1"/>
  <c r="D3400" i="1"/>
  <c r="D3399" i="1"/>
  <c r="D3398" i="1"/>
  <c r="D3397" i="1"/>
  <c r="D3396" i="1"/>
  <c r="D3395" i="1"/>
  <c r="D3394" i="1"/>
  <c r="D3393" i="1"/>
  <c r="D3392" i="1"/>
  <c r="D3391" i="1"/>
  <c r="D3390" i="1"/>
  <c r="D3389" i="1"/>
  <c r="D3388" i="1"/>
  <c r="D3387" i="1"/>
  <c r="D3386" i="1"/>
  <c r="D3385" i="1"/>
  <c r="D3384" i="1"/>
  <c r="D3383" i="1"/>
  <c r="D3382" i="1"/>
  <c r="D3381" i="1"/>
  <c r="D3380" i="1"/>
  <c r="D3379" i="1"/>
  <c r="D3378" i="1"/>
  <c r="D3377" i="1"/>
  <c r="D3376" i="1"/>
  <c r="D3375" i="1"/>
  <c r="D3374" i="1"/>
  <c r="D3373" i="1"/>
  <c r="D3372" i="1"/>
  <c r="D3371" i="1"/>
  <c r="D3370" i="1"/>
  <c r="D3369" i="1"/>
  <c r="D3368" i="1"/>
  <c r="D3367" i="1"/>
  <c r="D3366" i="1"/>
  <c r="D3365" i="1"/>
  <c r="D3364" i="1"/>
  <c r="D3363" i="1"/>
  <c r="D3362" i="1"/>
  <c r="D3361" i="1"/>
  <c r="D3360" i="1"/>
  <c r="D3359" i="1"/>
  <c r="D3358" i="1"/>
  <c r="D3357" i="1"/>
  <c r="D3356" i="1"/>
  <c r="D3355" i="1"/>
  <c r="D3354" i="1"/>
  <c r="D3353" i="1"/>
  <c r="D3352" i="1"/>
  <c r="D3351" i="1"/>
  <c r="D3350" i="1"/>
  <c r="D3349" i="1"/>
  <c r="D3348" i="1"/>
  <c r="D3347" i="1"/>
  <c r="D3346" i="1"/>
  <c r="D3345" i="1"/>
  <c r="D3344" i="1"/>
  <c r="D3343" i="1"/>
  <c r="D3342" i="1"/>
  <c r="D3341" i="1"/>
  <c r="D3340" i="1"/>
  <c r="D3339" i="1"/>
  <c r="D3338" i="1"/>
  <c r="D3337" i="1"/>
  <c r="D3336" i="1"/>
  <c r="D3335" i="1"/>
  <c r="D3334" i="1"/>
  <c r="D3333" i="1"/>
  <c r="D3332" i="1"/>
  <c r="D3331" i="1"/>
  <c r="D3330" i="1"/>
  <c r="D3329" i="1"/>
  <c r="D3328" i="1"/>
  <c r="D3327" i="1"/>
  <c r="D3326" i="1"/>
  <c r="D3325" i="1"/>
  <c r="D3324" i="1"/>
  <c r="D3323" i="1"/>
  <c r="D3322" i="1"/>
  <c r="D3321" i="1"/>
  <c r="D3320" i="1"/>
  <c r="D3319" i="1"/>
  <c r="D3318" i="1"/>
  <c r="D3317" i="1"/>
  <c r="D3316" i="1"/>
  <c r="D3315" i="1"/>
  <c r="D3314" i="1"/>
  <c r="D3313" i="1"/>
  <c r="D3312" i="1"/>
  <c r="D3311" i="1"/>
  <c r="D3310" i="1"/>
  <c r="D3309" i="1"/>
  <c r="D3308" i="1"/>
  <c r="D3307" i="1"/>
  <c r="D3306" i="1"/>
  <c r="D3305" i="1"/>
  <c r="D3304" i="1"/>
  <c r="D3303" i="1"/>
  <c r="D3302" i="1"/>
  <c r="D3301" i="1"/>
  <c r="D3300" i="1"/>
  <c r="D3299" i="1"/>
  <c r="D3298" i="1"/>
  <c r="D3297" i="1"/>
  <c r="D3296" i="1"/>
  <c r="D3295" i="1"/>
  <c r="D3294" i="1"/>
  <c r="D3293" i="1"/>
  <c r="D3292" i="1"/>
  <c r="D3291" i="1"/>
  <c r="D3290" i="1"/>
  <c r="D3289" i="1"/>
  <c r="D3288" i="1"/>
  <c r="D3287" i="1"/>
  <c r="D3286" i="1"/>
  <c r="D3285" i="1"/>
  <c r="D3284" i="1"/>
  <c r="D3283" i="1"/>
  <c r="D3282" i="1"/>
  <c r="D3281" i="1"/>
  <c r="D3280" i="1"/>
  <c r="D3279" i="1"/>
  <c r="D3278" i="1"/>
  <c r="D3277" i="1"/>
  <c r="D3276" i="1"/>
  <c r="D3275" i="1"/>
  <c r="D3274" i="1"/>
  <c r="D3273" i="1"/>
  <c r="D3272" i="1"/>
  <c r="D3271" i="1"/>
  <c r="D3270" i="1"/>
  <c r="D3269" i="1"/>
  <c r="D3268" i="1"/>
  <c r="D3267" i="1"/>
  <c r="D3266" i="1"/>
  <c r="D3265" i="1"/>
  <c r="D3264" i="1"/>
  <c r="D3263" i="1"/>
  <c r="D3262" i="1"/>
  <c r="D3261" i="1"/>
  <c r="D3260" i="1"/>
  <c r="D3259" i="1"/>
  <c r="D3258" i="1"/>
  <c r="D3257" i="1"/>
  <c r="D3256" i="1"/>
  <c r="D3255" i="1"/>
  <c r="D3254" i="1"/>
  <c r="D3253" i="1"/>
  <c r="D3252" i="1"/>
  <c r="D3251" i="1"/>
  <c r="D3250" i="1"/>
  <c r="D3249" i="1"/>
  <c r="D3248" i="1"/>
  <c r="D3247" i="1"/>
  <c r="D3246" i="1"/>
  <c r="D3245" i="1"/>
  <c r="D3244" i="1"/>
  <c r="D3243" i="1"/>
  <c r="D3242" i="1"/>
  <c r="D3241" i="1"/>
  <c r="D3240" i="1"/>
  <c r="D3239" i="1"/>
  <c r="D3238" i="1"/>
  <c r="D3237" i="1"/>
  <c r="D3236" i="1"/>
  <c r="D3235" i="1"/>
  <c r="D3234" i="1"/>
  <c r="D3233" i="1"/>
  <c r="D3232" i="1"/>
  <c r="D3231" i="1"/>
  <c r="D3230" i="1"/>
  <c r="D3229" i="1"/>
  <c r="D3228" i="1"/>
  <c r="D3227" i="1"/>
  <c r="D3226" i="1"/>
  <c r="D3225" i="1"/>
  <c r="D3224" i="1"/>
  <c r="D3223" i="1"/>
  <c r="D3222" i="1"/>
  <c r="D3221" i="1"/>
  <c r="D3220" i="1"/>
  <c r="D3219" i="1"/>
  <c r="D3218" i="1"/>
  <c r="D3217" i="1"/>
  <c r="D3216" i="1"/>
  <c r="D3215" i="1"/>
  <c r="D3214" i="1"/>
  <c r="D3213" i="1"/>
  <c r="D3212" i="1"/>
  <c r="D3211" i="1"/>
  <c r="D3210" i="1"/>
  <c r="D3209" i="1"/>
  <c r="D3208" i="1"/>
  <c r="D3207" i="1"/>
  <c r="D3206" i="1"/>
  <c r="D3205" i="1"/>
  <c r="D3204" i="1"/>
  <c r="D3203" i="1"/>
  <c r="D3202" i="1"/>
  <c r="D3201" i="1"/>
  <c r="D3200" i="1"/>
  <c r="D3199" i="1"/>
  <c r="D3198" i="1"/>
  <c r="D3197" i="1"/>
  <c r="D3196" i="1"/>
  <c r="D3195" i="1"/>
  <c r="D3194" i="1"/>
  <c r="D3193" i="1"/>
  <c r="D3192" i="1"/>
  <c r="D3191" i="1"/>
  <c r="D3190" i="1"/>
  <c r="D3189" i="1"/>
  <c r="D3188" i="1"/>
  <c r="D3187" i="1"/>
  <c r="D3186" i="1"/>
  <c r="D3185" i="1"/>
  <c r="D3184" i="1"/>
  <c r="D3183" i="1"/>
  <c r="D3182" i="1"/>
  <c r="D3181" i="1"/>
  <c r="D3180" i="1"/>
  <c r="D3179" i="1"/>
  <c r="D3178" i="1"/>
  <c r="D3177" i="1"/>
  <c r="D3176" i="1"/>
  <c r="D3175" i="1"/>
  <c r="D3174" i="1"/>
  <c r="D3173" i="1"/>
  <c r="D3172" i="1"/>
  <c r="D3171" i="1"/>
  <c r="D3170" i="1"/>
  <c r="D3169" i="1"/>
  <c r="D3168" i="1"/>
  <c r="D3167" i="1"/>
  <c r="D3166" i="1"/>
  <c r="D3165" i="1"/>
  <c r="D3164" i="1"/>
  <c r="D3163" i="1"/>
  <c r="D3162" i="1"/>
  <c r="D3161" i="1"/>
  <c r="D3160" i="1"/>
  <c r="D3159" i="1"/>
  <c r="D3158" i="1"/>
  <c r="D3157" i="1"/>
  <c r="D3156" i="1"/>
  <c r="D3155" i="1"/>
  <c r="D3154" i="1"/>
  <c r="D3153" i="1"/>
  <c r="D3152" i="1"/>
  <c r="D3151" i="1"/>
  <c r="D3150" i="1"/>
  <c r="D3149" i="1"/>
  <c r="D3148" i="1"/>
  <c r="D3147" i="1"/>
  <c r="D3146" i="1"/>
  <c r="D3145" i="1"/>
  <c r="D3144" i="1"/>
  <c r="D3142" i="1"/>
  <c r="D3141" i="1"/>
  <c r="D3140" i="1"/>
  <c r="D3139" i="1"/>
  <c r="D3138" i="1"/>
  <c r="D3137" i="1"/>
  <c r="D3136" i="1"/>
  <c r="D3135" i="1"/>
  <c r="D3134" i="1"/>
  <c r="D3133" i="1"/>
  <c r="D3132" i="1"/>
  <c r="D3131" i="1"/>
  <c r="D3130" i="1"/>
  <c r="D3129" i="1"/>
  <c r="D3128" i="1"/>
  <c r="D3127" i="1"/>
  <c r="D3126" i="1"/>
  <c r="D3125" i="1"/>
  <c r="D3124" i="1"/>
  <c r="D3123" i="1"/>
  <c r="D3122" i="1"/>
  <c r="D3121" i="1"/>
  <c r="D3120" i="1"/>
  <c r="D3119" i="1"/>
  <c r="D3118" i="1"/>
  <c r="D3117" i="1"/>
  <c r="D3116" i="1"/>
  <c r="D3115" i="1"/>
  <c r="D3114" i="1"/>
  <c r="D3113" i="1"/>
  <c r="D3112" i="1"/>
  <c r="D3111" i="1"/>
  <c r="D3110" i="1"/>
  <c r="D3109" i="1"/>
  <c r="D3108" i="1"/>
  <c r="D3107" i="1"/>
  <c r="D3106" i="1"/>
  <c r="D3105" i="1"/>
  <c r="D3104" i="1"/>
  <c r="D3103" i="1"/>
  <c r="D3102" i="1"/>
  <c r="D3101" i="1"/>
  <c r="D3100" i="1"/>
  <c r="D3099" i="1"/>
  <c r="D3098" i="1"/>
  <c r="D3097" i="1"/>
  <c r="D3096" i="1"/>
  <c r="D3095" i="1"/>
  <c r="D3094" i="1"/>
  <c r="D3093" i="1"/>
  <c r="D3092" i="1"/>
  <c r="D3091" i="1"/>
  <c r="D3090" i="1"/>
  <c r="D3089" i="1"/>
  <c r="D3088" i="1"/>
  <c r="D3087" i="1"/>
  <c r="D3086" i="1"/>
  <c r="D3085" i="1"/>
  <c r="D3084" i="1"/>
  <c r="D3083" i="1"/>
  <c r="D3082" i="1"/>
  <c r="D3081" i="1"/>
  <c r="D3080" i="1"/>
  <c r="D3079" i="1"/>
  <c r="D3078" i="1"/>
  <c r="D3077" i="1"/>
  <c r="D3076" i="1"/>
  <c r="D3075" i="1"/>
  <c r="D3074" i="1"/>
  <c r="D3073" i="1"/>
  <c r="D3072" i="1"/>
  <c r="D3071" i="1"/>
  <c r="D3070" i="1"/>
  <c r="D3069" i="1"/>
  <c r="D3068" i="1"/>
  <c r="D3067" i="1"/>
  <c r="D3066" i="1"/>
  <c r="D3065" i="1"/>
  <c r="D3064" i="1"/>
  <c r="D3063" i="1"/>
  <c r="D3062" i="1"/>
  <c r="D3061" i="1"/>
  <c r="D3060" i="1"/>
  <c r="D3059" i="1"/>
  <c r="D3058" i="1"/>
  <c r="D3057" i="1"/>
  <c r="D3056" i="1"/>
  <c r="D3055" i="1"/>
  <c r="D3054" i="1"/>
  <c r="D3053" i="1"/>
  <c r="D3052" i="1"/>
  <c r="D3051" i="1"/>
  <c r="D3050" i="1"/>
  <c r="D3049" i="1"/>
  <c r="D3048" i="1"/>
  <c r="D3047" i="1"/>
  <c r="D3046" i="1"/>
  <c r="D3045" i="1"/>
  <c r="D3044" i="1"/>
  <c r="D3043" i="1"/>
  <c r="D3042" i="1"/>
  <c r="D3041" i="1"/>
  <c r="D3040" i="1"/>
  <c r="D3039" i="1"/>
  <c r="D3038" i="1"/>
  <c r="D3037" i="1"/>
  <c r="D3036" i="1"/>
  <c r="D3035" i="1"/>
  <c r="D3034" i="1"/>
  <c r="D3033" i="1"/>
  <c r="D3032" i="1"/>
  <c r="D3031" i="1"/>
  <c r="D3030" i="1"/>
  <c r="D3029" i="1"/>
  <c r="D3028" i="1"/>
  <c r="D3027" i="1"/>
  <c r="D3026" i="1"/>
  <c r="D3025" i="1"/>
  <c r="D3024" i="1"/>
  <c r="D3023" i="1"/>
  <c r="D3022" i="1"/>
  <c r="D3021" i="1"/>
  <c r="D3020" i="1"/>
  <c r="D3019" i="1"/>
  <c r="D3018" i="1"/>
  <c r="D3017" i="1"/>
  <c r="D3016" i="1"/>
  <c r="D3015" i="1"/>
  <c r="D3014" i="1"/>
  <c r="D3013" i="1"/>
  <c r="D3012" i="1"/>
  <c r="D3011" i="1"/>
  <c r="D3010" i="1"/>
  <c r="D3009" i="1"/>
  <c r="D3008" i="1"/>
  <c r="D3007" i="1"/>
  <c r="D3006" i="1"/>
  <c r="D3005" i="1"/>
  <c r="D3004" i="1"/>
  <c r="D3003" i="1"/>
  <c r="D3002" i="1"/>
  <c r="D3001" i="1"/>
  <c r="D3000" i="1"/>
  <c r="D2999" i="1"/>
  <c r="D2998" i="1"/>
  <c r="D2997" i="1"/>
  <c r="D2996" i="1"/>
  <c r="D2995" i="1"/>
  <c r="D2994" i="1"/>
  <c r="D2993" i="1"/>
  <c r="D2992" i="1"/>
  <c r="D2991" i="1"/>
  <c r="D2990" i="1"/>
  <c r="D2989" i="1"/>
  <c r="D2988" i="1"/>
  <c r="D2987" i="1"/>
  <c r="D2986" i="1"/>
  <c r="D2985" i="1"/>
  <c r="D2984" i="1"/>
  <c r="D2983" i="1"/>
  <c r="D2982" i="1"/>
  <c r="D2981" i="1"/>
  <c r="D2980" i="1"/>
  <c r="D2979" i="1"/>
  <c r="D2978" i="1"/>
  <c r="D2977" i="1"/>
  <c r="D2976" i="1"/>
  <c r="D2975" i="1"/>
  <c r="D2974" i="1"/>
  <c r="D2973" i="1"/>
  <c r="D2972" i="1"/>
  <c r="D2971" i="1"/>
  <c r="D2970" i="1"/>
  <c r="D2969" i="1"/>
  <c r="D2968" i="1"/>
  <c r="D2967" i="1"/>
  <c r="D2966" i="1"/>
  <c r="D2965" i="1"/>
  <c r="D2964" i="1"/>
  <c r="D2963" i="1"/>
  <c r="D2962" i="1"/>
  <c r="D2961" i="1"/>
  <c r="D2960" i="1"/>
  <c r="D2959" i="1"/>
  <c r="D2958" i="1"/>
  <c r="D2957" i="1"/>
  <c r="D2956" i="1"/>
  <c r="D2955" i="1"/>
  <c r="D2954" i="1"/>
  <c r="D2953" i="1"/>
  <c r="D2952" i="1"/>
  <c r="D2951" i="1"/>
  <c r="D2950" i="1"/>
  <c r="D2949" i="1"/>
  <c r="D2948" i="1"/>
  <c r="D2947" i="1"/>
  <c r="D2946" i="1"/>
  <c r="D2945" i="1"/>
  <c r="D2944" i="1"/>
  <c r="D2943" i="1"/>
  <c r="D2942" i="1"/>
  <c r="D2941" i="1"/>
  <c r="D2940" i="1"/>
  <c r="D2939" i="1"/>
  <c r="D2938" i="1"/>
  <c r="D2937" i="1"/>
  <c r="D2936" i="1"/>
  <c r="D2935" i="1"/>
  <c r="D2934" i="1"/>
  <c r="D2933" i="1"/>
  <c r="D2932" i="1"/>
  <c r="D2931" i="1"/>
  <c r="D2930" i="1"/>
  <c r="D2929" i="1"/>
  <c r="D2928" i="1"/>
  <c r="D2927" i="1"/>
  <c r="D2926" i="1"/>
  <c r="D2925" i="1"/>
  <c r="D2924" i="1"/>
  <c r="D2923" i="1"/>
  <c r="D2922" i="1"/>
  <c r="D2921" i="1"/>
  <c r="D2920" i="1"/>
  <c r="D2919" i="1"/>
  <c r="D2918" i="1"/>
  <c r="D2917" i="1"/>
  <c r="D2916" i="1"/>
  <c r="D2915" i="1"/>
  <c r="D2914" i="1"/>
  <c r="D2913" i="1"/>
  <c r="D2912" i="1"/>
  <c r="D2911" i="1"/>
  <c r="D2910" i="1"/>
  <c r="D2909" i="1"/>
  <c r="D2908" i="1"/>
  <c r="D2907" i="1"/>
  <c r="D2906" i="1"/>
  <c r="D2905" i="1"/>
  <c r="D2904" i="1"/>
  <c r="D2903" i="1"/>
  <c r="D2902" i="1"/>
  <c r="D2901" i="1"/>
  <c r="D2900" i="1"/>
  <c r="D2899" i="1"/>
  <c r="D2898" i="1"/>
  <c r="D2897" i="1"/>
  <c r="D2896" i="1"/>
  <c r="D2895" i="1"/>
  <c r="D2894" i="1"/>
  <c r="D2893" i="1"/>
  <c r="D2892" i="1"/>
  <c r="D2891" i="1"/>
  <c r="D2890" i="1"/>
  <c r="D2889" i="1"/>
  <c r="D2888" i="1"/>
  <c r="D2887" i="1"/>
  <c r="D2886" i="1"/>
  <c r="D2885" i="1"/>
  <c r="D2884" i="1"/>
  <c r="D2883" i="1"/>
  <c r="D2882" i="1"/>
  <c r="D2881" i="1"/>
  <c r="D2880" i="1"/>
  <c r="D2879" i="1"/>
  <c r="D2878" i="1"/>
  <c r="D2877" i="1"/>
  <c r="D2876" i="1"/>
  <c r="D2875" i="1"/>
  <c r="D2874" i="1"/>
  <c r="D2873" i="1"/>
  <c r="D2872" i="1"/>
  <c r="D2871" i="1"/>
  <c r="D2870" i="1"/>
  <c r="D2869" i="1"/>
  <c r="D2868" i="1"/>
  <c r="D2867" i="1"/>
  <c r="D2866" i="1"/>
  <c r="D2865" i="1"/>
  <c r="D2864" i="1"/>
  <c r="D2863" i="1"/>
  <c r="D2862" i="1"/>
  <c r="D2861" i="1"/>
  <c r="D2860" i="1"/>
  <c r="D2859" i="1"/>
  <c r="D2858" i="1"/>
  <c r="D2857" i="1"/>
  <c r="D2856" i="1"/>
  <c r="D2855" i="1"/>
  <c r="D2854" i="1"/>
  <c r="D2853" i="1"/>
  <c r="D2852" i="1"/>
  <c r="D2851" i="1"/>
  <c r="D2850" i="1"/>
  <c r="D2849" i="1"/>
  <c r="D2848" i="1"/>
  <c r="D2847" i="1"/>
  <c r="D2846" i="1"/>
  <c r="D2845" i="1"/>
  <c r="D2844" i="1"/>
  <c r="D2843" i="1"/>
  <c r="D2842" i="1"/>
  <c r="D2841" i="1"/>
  <c r="D2840" i="1"/>
  <c r="D2839" i="1"/>
  <c r="D2838" i="1"/>
  <c r="D2837" i="1"/>
  <c r="D2836" i="1"/>
  <c r="D2835" i="1"/>
  <c r="D2834" i="1"/>
  <c r="D2833" i="1"/>
  <c r="D2832" i="1"/>
  <c r="D2831" i="1"/>
  <c r="D2830" i="1"/>
  <c r="D2829" i="1"/>
  <c r="D2828" i="1"/>
  <c r="D2827" i="1"/>
  <c r="D2826" i="1"/>
  <c r="D2825" i="1"/>
  <c r="D2824" i="1"/>
  <c r="D2823" i="1"/>
  <c r="D2822" i="1"/>
  <c r="D2821" i="1"/>
  <c r="D2820" i="1"/>
  <c r="D2819" i="1"/>
  <c r="D2818" i="1"/>
  <c r="D2817" i="1"/>
  <c r="D2816" i="1"/>
  <c r="D2815" i="1"/>
  <c r="D2814" i="1"/>
  <c r="D2813" i="1"/>
  <c r="D2812" i="1"/>
  <c r="D2811" i="1"/>
  <c r="D2810" i="1"/>
  <c r="D2809" i="1"/>
  <c r="D2808" i="1"/>
  <c r="D2807" i="1"/>
  <c r="D2806" i="1"/>
  <c r="D2805" i="1"/>
  <c r="D2804" i="1"/>
  <c r="D2803" i="1"/>
  <c r="D2802" i="1"/>
  <c r="D2801" i="1"/>
  <c r="D2800" i="1"/>
  <c r="D2799" i="1"/>
  <c r="D2798" i="1"/>
  <c r="D2797" i="1"/>
  <c r="D2796" i="1"/>
  <c r="D2795" i="1"/>
  <c r="D2794" i="1"/>
  <c r="D2793" i="1"/>
  <c r="D2792" i="1"/>
  <c r="D2791" i="1"/>
  <c r="D2790" i="1"/>
  <c r="D2789" i="1"/>
  <c r="D2788" i="1"/>
  <c r="D2787" i="1"/>
  <c r="D2786" i="1"/>
  <c r="D2785" i="1"/>
  <c r="D2784" i="1"/>
  <c r="D2783" i="1"/>
  <c r="D2782" i="1"/>
  <c r="D2781" i="1"/>
  <c r="D2780" i="1"/>
  <c r="D2779" i="1"/>
  <c r="D2778" i="1"/>
  <c r="D2777" i="1"/>
  <c r="D2776" i="1"/>
  <c r="D2775" i="1"/>
  <c r="D2774" i="1"/>
  <c r="D2773" i="1"/>
  <c r="D2772" i="1"/>
  <c r="D2771" i="1"/>
  <c r="D2770" i="1"/>
  <c r="D2769" i="1"/>
  <c r="D2768" i="1"/>
  <c r="D2767" i="1"/>
  <c r="D2766" i="1"/>
  <c r="D2765" i="1"/>
  <c r="D2764" i="1"/>
  <c r="D2763" i="1"/>
  <c r="D2762" i="1"/>
  <c r="D2761" i="1"/>
  <c r="D2760" i="1"/>
  <c r="D2759" i="1"/>
  <c r="D2758" i="1"/>
  <c r="D2757" i="1"/>
  <c r="D2756" i="1"/>
  <c r="D2755" i="1"/>
  <c r="D2754" i="1"/>
  <c r="D2753" i="1"/>
  <c r="D2752" i="1"/>
  <c r="D2751" i="1"/>
  <c r="D2750" i="1"/>
  <c r="D2749" i="1"/>
  <c r="D2748" i="1"/>
  <c r="D2747" i="1"/>
  <c r="D2746" i="1"/>
  <c r="D2745" i="1"/>
  <c r="D2744" i="1"/>
  <c r="D2743" i="1"/>
  <c r="D2742" i="1"/>
  <c r="D2741" i="1"/>
  <c r="D2740" i="1"/>
  <c r="D2739" i="1"/>
  <c r="D2738" i="1"/>
  <c r="D2737" i="1"/>
  <c r="D2736" i="1"/>
  <c r="D2735" i="1"/>
  <c r="D2734" i="1"/>
  <c r="D2733" i="1"/>
  <c r="D2732" i="1"/>
  <c r="D2731" i="1"/>
  <c r="D2730" i="1"/>
  <c r="D2729" i="1"/>
  <c r="D2728" i="1"/>
  <c r="D2727" i="1"/>
  <c r="D2726" i="1"/>
  <c r="D2725" i="1"/>
  <c r="D2724" i="1"/>
  <c r="D2723" i="1"/>
  <c r="D2722" i="1"/>
  <c r="D2721" i="1"/>
  <c r="D2720" i="1"/>
  <c r="D2719" i="1"/>
  <c r="D2718" i="1"/>
  <c r="D2717" i="1"/>
  <c r="D2716" i="1"/>
  <c r="D2715" i="1"/>
  <c r="D2714" i="1"/>
  <c r="D2713" i="1"/>
  <c r="D2712" i="1"/>
  <c r="D2711" i="1"/>
  <c r="D2710" i="1"/>
  <c r="D2709" i="1"/>
  <c r="D2708" i="1"/>
  <c r="D2707" i="1"/>
  <c r="D2706" i="1"/>
  <c r="D2705" i="1"/>
  <c r="D2704" i="1"/>
  <c r="D2703" i="1"/>
  <c r="D2702" i="1"/>
  <c r="D2701" i="1"/>
  <c r="D2700" i="1"/>
  <c r="D2699" i="1"/>
  <c r="D2698" i="1"/>
  <c r="D2697" i="1"/>
  <c r="D2696" i="1"/>
  <c r="D2695" i="1"/>
  <c r="D2694" i="1"/>
  <c r="D2693" i="1"/>
  <c r="D2692" i="1"/>
  <c r="D2691" i="1"/>
  <c r="D2690" i="1"/>
  <c r="D2689" i="1"/>
  <c r="D2688" i="1"/>
  <c r="D2687" i="1"/>
  <c r="D2686" i="1"/>
  <c r="D2685" i="1"/>
  <c r="D2684" i="1"/>
  <c r="D2683" i="1"/>
  <c r="D2682" i="1"/>
  <c r="D2681" i="1"/>
  <c r="D2680" i="1"/>
  <c r="D2679" i="1"/>
  <c r="D2678" i="1"/>
  <c r="D2677" i="1"/>
  <c r="D2676" i="1"/>
  <c r="D2675" i="1"/>
  <c r="D2674" i="1"/>
  <c r="D2673" i="1"/>
  <c r="D2672" i="1"/>
  <c r="D2671" i="1"/>
  <c r="D2670" i="1"/>
  <c r="D2669" i="1"/>
  <c r="D2668" i="1"/>
  <c r="D2667" i="1"/>
  <c r="D2666" i="1"/>
  <c r="D2665" i="1"/>
  <c r="D2664" i="1"/>
  <c r="D2663" i="1"/>
  <c r="D2662" i="1"/>
  <c r="D2661" i="1"/>
  <c r="D2660" i="1"/>
  <c r="D2659" i="1"/>
  <c r="D2658" i="1"/>
  <c r="D2657" i="1"/>
  <c r="D2656" i="1"/>
  <c r="D2655" i="1"/>
  <c r="D2654" i="1"/>
  <c r="D2653" i="1"/>
  <c r="D2652" i="1"/>
  <c r="D2651" i="1"/>
  <c r="D2650" i="1"/>
  <c r="D2649" i="1"/>
  <c r="D2648" i="1"/>
  <c r="D2647" i="1"/>
  <c r="D2646" i="1"/>
  <c r="D2645" i="1"/>
  <c r="D2644" i="1"/>
  <c r="D2643" i="1"/>
  <c r="D2642" i="1"/>
  <c r="D2641" i="1"/>
  <c r="D2640" i="1"/>
  <c r="D2639" i="1"/>
  <c r="D2638" i="1"/>
  <c r="D2637" i="1"/>
  <c r="D2636" i="1"/>
  <c r="D2635" i="1"/>
  <c r="D2634" i="1"/>
  <c r="D2633" i="1"/>
  <c r="D2632" i="1"/>
  <c r="D2631" i="1"/>
  <c r="D2630" i="1"/>
  <c r="D2629" i="1"/>
  <c r="D2628" i="1"/>
  <c r="D2627" i="1"/>
  <c r="D2626" i="1"/>
  <c r="D2625" i="1"/>
  <c r="D2624" i="1"/>
  <c r="D2623" i="1"/>
  <c r="D2622" i="1"/>
  <c r="D2621" i="1"/>
  <c r="D2620" i="1"/>
  <c r="D2619" i="1"/>
  <c r="D2618" i="1"/>
  <c r="D2617" i="1"/>
  <c r="D2616" i="1"/>
  <c r="D2615" i="1"/>
  <c r="D2614" i="1"/>
  <c r="D2613" i="1"/>
  <c r="D2612" i="1"/>
  <c r="D2611" i="1"/>
  <c r="D2610" i="1"/>
  <c r="D2609" i="1"/>
  <c r="D2608" i="1"/>
  <c r="D2607" i="1"/>
  <c r="D2606" i="1"/>
  <c r="D2605" i="1"/>
  <c r="D2604" i="1"/>
  <c r="D2603" i="1"/>
  <c r="D2602" i="1"/>
  <c r="D2601" i="1"/>
  <c r="D2600" i="1"/>
  <c r="D2599" i="1"/>
  <c r="D2598" i="1"/>
  <c r="D2597" i="1"/>
  <c r="D2596" i="1"/>
  <c r="D2595" i="1"/>
  <c r="D2594" i="1"/>
  <c r="D2593" i="1"/>
  <c r="D2592" i="1"/>
  <c r="D2591" i="1"/>
  <c r="D2590" i="1"/>
  <c r="D2589" i="1"/>
  <c r="D2588" i="1"/>
  <c r="D2587" i="1"/>
  <c r="D2586" i="1"/>
  <c r="D2585" i="1"/>
  <c r="D2584" i="1"/>
  <c r="D2583" i="1"/>
  <c r="D2582" i="1"/>
  <c r="D2581" i="1"/>
  <c r="D2580" i="1"/>
  <c r="D2579" i="1"/>
  <c r="D2578" i="1"/>
  <c r="D2577" i="1"/>
  <c r="D2576" i="1"/>
  <c r="D2575" i="1"/>
  <c r="D2574" i="1"/>
  <c r="D2573" i="1"/>
  <c r="D2572" i="1"/>
  <c r="D2571" i="1"/>
  <c r="D2570" i="1"/>
  <c r="D2569" i="1"/>
  <c r="D2568" i="1"/>
  <c r="D2567" i="1"/>
  <c r="D2566" i="1"/>
  <c r="D2565" i="1"/>
  <c r="D2564" i="1"/>
  <c r="D2563" i="1"/>
  <c r="D2562" i="1"/>
  <c r="D2561" i="1"/>
  <c r="D2560" i="1"/>
  <c r="D2559" i="1"/>
  <c r="D2558" i="1"/>
  <c r="D2557" i="1"/>
  <c r="D2556" i="1"/>
  <c r="D2555" i="1"/>
  <c r="D2554" i="1"/>
  <c r="D2553" i="1"/>
  <c r="D2552" i="1"/>
  <c r="D2551" i="1"/>
  <c r="D2550" i="1"/>
  <c r="D2549" i="1"/>
  <c r="D2548" i="1"/>
  <c r="D2547" i="1"/>
  <c r="D2546" i="1"/>
  <c r="D2545" i="1"/>
  <c r="D2544" i="1"/>
  <c r="D2543" i="1"/>
  <c r="D2542" i="1"/>
  <c r="D2541" i="1"/>
  <c r="D2540" i="1"/>
  <c r="D2539" i="1"/>
  <c r="D2538" i="1"/>
  <c r="D2537" i="1"/>
  <c r="D2536" i="1"/>
  <c r="D2535" i="1"/>
  <c r="D2534" i="1"/>
  <c r="D2533" i="1"/>
  <c r="D2532" i="1"/>
  <c r="D2531" i="1"/>
  <c r="D2530" i="1"/>
  <c r="D2529" i="1"/>
  <c r="D2528" i="1"/>
  <c r="D2527" i="1"/>
  <c r="D2526" i="1"/>
  <c r="D2525" i="1"/>
  <c r="D2524" i="1"/>
  <c r="D2523" i="1"/>
  <c r="D2522" i="1"/>
  <c r="D2521" i="1"/>
  <c r="D2520" i="1"/>
  <c r="D2519" i="1"/>
  <c r="D2518" i="1"/>
  <c r="D2517" i="1"/>
  <c r="D2516" i="1"/>
  <c r="D2515" i="1"/>
  <c r="D2514" i="1"/>
  <c r="D2513" i="1"/>
  <c r="D2512" i="1"/>
  <c r="D2511" i="1"/>
  <c r="D2510" i="1"/>
  <c r="D2509" i="1"/>
  <c r="D2508" i="1"/>
  <c r="D2507" i="1"/>
  <c r="D2506" i="1"/>
  <c r="D2505" i="1"/>
  <c r="D2504" i="1"/>
  <c r="D2503" i="1"/>
  <c r="D2502" i="1"/>
  <c r="D2501" i="1"/>
  <c r="D2500" i="1"/>
  <c r="D2499" i="1"/>
  <c r="D2498" i="1"/>
  <c r="D2497" i="1"/>
  <c r="D2496" i="1"/>
  <c r="D2495" i="1"/>
  <c r="D2494" i="1"/>
  <c r="D2493" i="1"/>
  <c r="D2492" i="1"/>
  <c r="D2491" i="1"/>
  <c r="D2490" i="1"/>
  <c r="D2489" i="1"/>
  <c r="D2488" i="1"/>
  <c r="D2487" i="1"/>
  <c r="D2486" i="1"/>
  <c r="D2485" i="1"/>
  <c r="D2484" i="1"/>
  <c r="D2483" i="1"/>
  <c r="D2482" i="1"/>
  <c r="D2481" i="1"/>
  <c r="D2480" i="1"/>
  <c r="D2479" i="1"/>
  <c r="D2478" i="1"/>
  <c r="D2477" i="1"/>
  <c r="D2476" i="1"/>
  <c r="D2475" i="1"/>
  <c r="D2474" i="1"/>
  <c r="D2473" i="1"/>
  <c r="D2472" i="1"/>
  <c r="D2471" i="1"/>
  <c r="D2470" i="1"/>
  <c r="D2469" i="1"/>
  <c r="D2468" i="1"/>
  <c r="D2467" i="1"/>
  <c r="D2466" i="1"/>
  <c r="D2465" i="1"/>
  <c r="D2464" i="1"/>
  <c r="D2463" i="1"/>
  <c r="D2462" i="1"/>
  <c r="D2461" i="1"/>
  <c r="D2460" i="1"/>
  <c r="D2459" i="1"/>
  <c r="D2458" i="1"/>
  <c r="D2457" i="1"/>
  <c r="D2456" i="1"/>
  <c r="D2455" i="1"/>
  <c r="D2454" i="1"/>
  <c r="D2453" i="1"/>
  <c r="D2452" i="1"/>
  <c r="D2451" i="1"/>
  <c r="D2450" i="1"/>
  <c r="D2449" i="1"/>
  <c r="D2448" i="1"/>
  <c r="D2447" i="1"/>
  <c r="D2446" i="1"/>
  <c r="D2445" i="1"/>
  <c r="D2444" i="1"/>
  <c r="D2443" i="1"/>
  <c r="D2442" i="1"/>
  <c r="D2441" i="1"/>
  <c r="D2440" i="1"/>
  <c r="D2439" i="1"/>
  <c r="D2438" i="1"/>
  <c r="D2437" i="1"/>
  <c r="D2436" i="1"/>
  <c r="D2435" i="1"/>
  <c r="D2434" i="1"/>
  <c r="D2433" i="1"/>
  <c r="D2432" i="1"/>
  <c r="D2431" i="1"/>
  <c r="D2430" i="1"/>
  <c r="D2429" i="1"/>
  <c r="D2428" i="1"/>
  <c r="D2427" i="1"/>
  <c r="D2426" i="1"/>
  <c r="D2425" i="1"/>
  <c r="D2424" i="1"/>
  <c r="D2423" i="1"/>
  <c r="D2422" i="1"/>
  <c r="D2421" i="1"/>
  <c r="D2420" i="1"/>
  <c r="D2419" i="1"/>
  <c r="D2418" i="1"/>
  <c r="D2417" i="1"/>
  <c r="D2416" i="1"/>
  <c r="D2415" i="1"/>
  <c r="D2414" i="1"/>
  <c r="D2413" i="1"/>
  <c r="D2412" i="1"/>
  <c r="D2411" i="1"/>
  <c r="D2410" i="1"/>
  <c r="D2409" i="1"/>
  <c r="D2408" i="1"/>
  <c r="D2407" i="1"/>
  <c r="D2406" i="1"/>
  <c r="D2405" i="1"/>
  <c r="D2404" i="1"/>
  <c r="D2403" i="1"/>
  <c r="D2402" i="1"/>
  <c r="D2401" i="1"/>
  <c r="D2400" i="1"/>
  <c r="D2399" i="1"/>
  <c r="D2398" i="1"/>
  <c r="D2397" i="1"/>
  <c r="D2396" i="1"/>
  <c r="D2395" i="1"/>
  <c r="D2394" i="1"/>
  <c r="D2393" i="1"/>
  <c r="D2392" i="1"/>
  <c r="D2391" i="1"/>
  <c r="D2390" i="1"/>
  <c r="D2389" i="1"/>
  <c r="D2388" i="1"/>
  <c r="D2387" i="1"/>
  <c r="D2386" i="1"/>
  <c r="D2385" i="1"/>
  <c r="D2384" i="1"/>
  <c r="D2383" i="1"/>
  <c r="D2382" i="1"/>
  <c r="D2381" i="1"/>
  <c r="D2380" i="1"/>
  <c r="D2379" i="1"/>
  <c r="D2378" i="1"/>
  <c r="D2377" i="1"/>
  <c r="D2376" i="1"/>
  <c r="D2375" i="1"/>
  <c r="D2374" i="1"/>
  <c r="D2373" i="1"/>
  <c r="D2372" i="1"/>
  <c r="D2371" i="1"/>
  <c r="D2370" i="1"/>
  <c r="D2369" i="1"/>
  <c r="D2368" i="1"/>
  <c r="D2367" i="1"/>
  <c r="D2366" i="1"/>
  <c r="D2365" i="1"/>
  <c r="D2364" i="1"/>
  <c r="D2363" i="1"/>
  <c r="D2362" i="1"/>
  <c r="D2361" i="1"/>
  <c r="D2360" i="1"/>
  <c r="D2359" i="1"/>
  <c r="D2358" i="1"/>
  <c r="D2357" i="1"/>
  <c r="D2356" i="1"/>
  <c r="D2355" i="1"/>
  <c r="D2354" i="1"/>
  <c r="D2353" i="1"/>
  <c r="D2352" i="1"/>
  <c r="D2351" i="1"/>
  <c r="D2350" i="1"/>
  <c r="D2349" i="1"/>
  <c r="D2348" i="1"/>
  <c r="D2347" i="1"/>
  <c r="D2346" i="1"/>
  <c r="D2345" i="1"/>
  <c r="D2344" i="1"/>
  <c r="D2343" i="1"/>
  <c r="D2342" i="1"/>
  <c r="D2341" i="1"/>
  <c r="D2340" i="1"/>
  <c r="D2339" i="1"/>
  <c r="D2338" i="1"/>
  <c r="D2337" i="1"/>
  <c r="D2336" i="1"/>
  <c r="D2335" i="1"/>
  <c r="D2334" i="1"/>
  <c r="D2333" i="1"/>
  <c r="D2332" i="1"/>
  <c r="D2331" i="1"/>
  <c r="D2330" i="1"/>
  <c r="D2329" i="1"/>
  <c r="D2328" i="1"/>
  <c r="D2327" i="1"/>
  <c r="D2326" i="1"/>
  <c r="D2325" i="1"/>
  <c r="D2324" i="1"/>
  <c r="D2323" i="1"/>
  <c r="D2322" i="1"/>
  <c r="D2321" i="1"/>
  <c r="D2320" i="1"/>
  <c r="D2319" i="1"/>
  <c r="D2318" i="1"/>
  <c r="D2317" i="1"/>
  <c r="D2316" i="1"/>
  <c r="D2315" i="1"/>
  <c r="D2314" i="1"/>
  <c r="D2313" i="1"/>
  <c r="D2312" i="1"/>
  <c r="D2311" i="1"/>
  <c r="D2310" i="1"/>
  <c r="D2309" i="1"/>
  <c r="D2308" i="1"/>
  <c r="D2307" i="1"/>
  <c r="D2306" i="1"/>
  <c r="D2305" i="1"/>
  <c r="D2304" i="1"/>
  <c r="D2303" i="1"/>
  <c r="D2302" i="1"/>
  <c r="D2301" i="1"/>
  <c r="D2300" i="1"/>
  <c r="D2299" i="1"/>
  <c r="D2298" i="1"/>
  <c r="D2297" i="1"/>
  <c r="D2296" i="1"/>
  <c r="D2295" i="1"/>
  <c r="D2294" i="1"/>
  <c r="D2293" i="1"/>
  <c r="D2292" i="1"/>
  <c r="D2291" i="1"/>
  <c r="D2290" i="1"/>
  <c r="D2289" i="1"/>
  <c r="D2288" i="1"/>
  <c r="D2287" i="1"/>
  <c r="D2286" i="1"/>
  <c r="D2285" i="1"/>
  <c r="D2284" i="1"/>
  <c r="D2283" i="1"/>
  <c r="D2282" i="1"/>
  <c r="D2281" i="1"/>
  <c r="D2280" i="1"/>
  <c r="D2279" i="1"/>
  <c r="D2278" i="1"/>
  <c r="D2277" i="1"/>
  <c r="D2276" i="1"/>
  <c r="D2275" i="1"/>
  <c r="D2274" i="1"/>
  <c r="D2273" i="1"/>
  <c r="D2272" i="1"/>
  <c r="D2271" i="1"/>
  <c r="D2270" i="1"/>
  <c r="D2269" i="1"/>
  <c r="D2268" i="1"/>
  <c r="D2267" i="1"/>
  <c r="D2266" i="1"/>
  <c r="D2265" i="1"/>
  <c r="D2264" i="1"/>
  <c r="D2263" i="1"/>
  <c r="D2262" i="1"/>
  <c r="D2261" i="1"/>
  <c r="D2260" i="1"/>
  <c r="D2259" i="1"/>
  <c r="D2258" i="1"/>
  <c r="D2257" i="1"/>
  <c r="D2256" i="1"/>
  <c r="D2255" i="1"/>
  <c r="D2254" i="1"/>
  <c r="D2253" i="1"/>
  <c r="D2252" i="1"/>
  <c r="D2251" i="1"/>
  <c r="D2250" i="1"/>
  <c r="D2249" i="1"/>
  <c r="D2248" i="1"/>
  <c r="D2247" i="1"/>
  <c r="D2246" i="1"/>
  <c r="D2245" i="1"/>
  <c r="D2244" i="1"/>
  <c r="D2243" i="1"/>
  <c r="D2242" i="1"/>
  <c r="D2241" i="1"/>
  <c r="D2240" i="1"/>
  <c r="D2239" i="1"/>
  <c r="D2238" i="1"/>
  <c r="D2237" i="1"/>
  <c r="D2236" i="1"/>
  <c r="D2235" i="1"/>
  <c r="D2234" i="1"/>
  <c r="D2233" i="1"/>
  <c r="D2232" i="1"/>
  <c r="D2231" i="1"/>
  <c r="D2230" i="1"/>
  <c r="D2229" i="1"/>
  <c r="D2228" i="1"/>
  <c r="D2227" i="1"/>
  <c r="D2226" i="1"/>
  <c r="D2225" i="1"/>
  <c r="D2224" i="1"/>
  <c r="D2223" i="1"/>
  <c r="D2222" i="1"/>
  <c r="D2221" i="1"/>
  <c r="D2220" i="1"/>
  <c r="D2219" i="1"/>
  <c r="D2218" i="1"/>
  <c r="D2217" i="1"/>
  <c r="D2216" i="1"/>
  <c r="D2215" i="1"/>
  <c r="D2214" i="1"/>
  <c r="D2213" i="1"/>
  <c r="D2212" i="1"/>
  <c r="D2211" i="1"/>
  <c r="D2210" i="1"/>
  <c r="D2209" i="1"/>
  <c r="D2208" i="1"/>
  <c r="D2207" i="1"/>
  <c r="D2206" i="1"/>
  <c r="D2205" i="1"/>
  <c r="D2204" i="1"/>
  <c r="D2203" i="1"/>
  <c r="D2202" i="1"/>
  <c r="D2201" i="1"/>
  <c r="D2200" i="1"/>
  <c r="D2199" i="1"/>
  <c r="D2198" i="1"/>
  <c r="D2197" i="1"/>
  <c r="D2196" i="1"/>
  <c r="D2195" i="1"/>
  <c r="D2194" i="1"/>
  <c r="D2193" i="1"/>
  <c r="D2192" i="1"/>
  <c r="D2191" i="1"/>
  <c r="D2190" i="1"/>
  <c r="D2189" i="1"/>
  <c r="D2188" i="1"/>
  <c r="D2187" i="1"/>
  <c r="D2186" i="1"/>
  <c r="D2185" i="1"/>
  <c r="D2184" i="1"/>
  <c r="D2183" i="1"/>
  <c r="D2182" i="1"/>
  <c r="D2181" i="1"/>
  <c r="D2180" i="1"/>
  <c r="D2179" i="1"/>
  <c r="D2178" i="1"/>
  <c r="D2177" i="1"/>
  <c r="D2176" i="1"/>
  <c r="D2175" i="1"/>
  <c r="D2174" i="1"/>
  <c r="D2173" i="1"/>
  <c r="D2172" i="1"/>
  <c r="D2171" i="1"/>
  <c r="D2170" i="1"/>
  <c r="D2169" i="1"/>
  <c r="D2168" i="1"/>
  <c r="D2167" i="1"/>
  <c r="D2166" i="1"/>
  <c r="D2165" i="1"/>
  <c r="D2164" i="1"/>
  <c r="D2163" i="1"/>
  <c r="D2162" i="1"/>
  <c r="D2161" i="1"/>
  <c r="D2160" i="1"/>
  <c r="D2159" i="1"/>
  <c r="D2158" i="1"/>
  <c r="D2157" i="1"/>
  <c r="D2156" i="1"/>
  <c r="D2155" i="1"/>
  <c r="D2154" i="1"/>
  <c r="D2153" i="1"/>
  <c r="D2152" i="1"/>
  <c r="D2151" i="1"/>
  <c r="D2150" i="1"/>
  <c r="D2149" i="1"/>
  <c r="D2148" i="1"/>
  <c r="D2147" i="1"/>
  <c r="D2146" i="1"/>
  <c r="D2145" i="1"/>
  <c r="D2144" i="1"/>
  <c r="D2143" i="1"/>
  <c r="D2142" i="1"/>
  <c r="D2141" i="1"/>
  <c r="D2140" i="1"/>
  <c r="D2139" i="1"/>
  <c r="D2138" i="1"/>
  <c r="D2137" i="1"/>
  <c r="D2136" i="1"/>
  <c r="D2135" i="1"/>
  <c r="D2134" i="1"/>
  <c r="D2133" i="1"/>
  <c r="D2132" i="1"/>
  <c r="D2131" i="1"/>
  <c r="D2130" i="1"/>
  <c r="D2129" i="1"/>
  <c r="D2128" i="1"/>
  <c r="D2127" i="1"/>
  <c r="D2126" i="1"/>
  <c r="D2125" i="1"/>
  <c r="D2124" i="1"/>
  <c r="D2123" i="1"/>
  <c r="D2122" i="1"/>
  <c r="D2121" i="1"/>
  <c r="D2120" i="1"/>
  <c r="D2119" i="1"/>
  <c r="D2118" i="1"/>
  <c r="D2117" i="1"/>
  <c r="D2116" i="1"/>
  <c r="D2115" i="1"/>
  <c r="D2114" i="1"/>
  <c r="D2113" i="1"/>
  <c r="D2112" i="1"/>
  <c r="D2111" i="1"/>
  <c r="D2110" i="1"/>
  <c r="D2109" i="1"/>
  <c r="D2108" i="1"/>
  <c r="D2107" i="1"/>
  <c r="D2106" i="1"/>
  <c r="D2105" i="1"/>
  <c r="D2104" i="1"/>
  <c r="D2103" i="1"/>
  <c r="D2102" i="1"/>
  <c r="D2101" i="1"/>
  <c r="D2100" i="1"/>
  <c r="D2099" i="1"/>
  <c r="D2098" i="1"/>
  <c r="D2097" i="1"/>
  <c r="D2096" i="1"/>
  <c r="D2095" i="1"/>
  <c r="D2094" i="1"/>
  <c r="D2093" i="1"/>
  <c r="D2092" i="1"/>
  <c r="D2091" i="1"/>
  <c r="D2090" i="1"/>
  <c r="D2089" i="1"/>
  <c r="D2088" i="1"/>
  <c r="D2087" i="1"/>
  <c r="D2086" i="1"/>
  <c r="D2085" i="1"/>
  <c r="D2084" i="1"/>
  <c r="D2083" i="1"/>
  <c r="D2082" i="1"/>
  <c r="D2081" i="1"/>
  <c r="D2080" i="1"/>
  <c r="D2079" i="1"/>
  <c r="D2078" i="1"/>
  <c r="D2077" i="1"/>
  <c r="D2076" i="1"/>
  <c r="D2075" i="1"/>
  <c r="D2074" i="1"/>
  <c r="D2073" i="1"/>
  <c r="D2072" i="1"/>
  <c r="D2071" i="1"/>
  <c r="D2070" i="1"/>
  <c r="D2069" i="1"/>
  <c r="D2068" i="1"/>
  <c r="D2067" i="1"/>
  <c r="D2066" i="1"/>
  <c r="D2065" i="1"/>
  <c r="D2064" i="1"/>
  <c r="D2063" i="1"/>
  <c r="D2062" i="1"/>
  <c r="D2061" i="1"/>
  <c r="D2060" i="1"/>
  <c r="D2059" i="1"/>
  <c r="D2058" i="1"/>
  <c r="D2057" i="1"/>
  <c r="D2056" i="1"/>
  <c r="D2055" i="1"/>
  <c r="D2054" i="1"/>
  <c r="D2053" i="1"/>
  <c r="D2052" i="1"/>
  <c r="D2051" i="1"/>
  <c r="D2050" i="1"/>
  <c r="D2049" i="1"/>
  <c r="D2048" i="1"/>
  <c r="D2047" i="1"/>
  <c r="D2046" i="1"/>
  <c r="D2045" i="1"/>
  <c r="D2044" i="1"/>
  <c r="D2043" i="1"/>
  <c r="D2042" i="1"/>
  <c r="D2041" i="1"/>
  <c r="D2040" i="1"/>
  <c r="D2039" i="1"/>
  <c r="D2038" i="1"/>
  <c r="D2037" i="1"/>
  <c r="D2036" i="1"/>
  <c r="D2035" i="1"/>
  <c r="D2034" i="1"/>
  <c r="D2033" i="1"/>
  <c r="D2032" i="1"/>
  <c r="D2031" i="1"/>
  <c r="D2030" i="1"/>
  <c r="D2029" i="1"/>
  <c r="D2028" i="1"/>
  <c r="D2027" i="1"/>
  <c r="D2026" i="1"/>
  <c r="D2025" i="1"/>
  <c r="D2024" i="1"/>
  <c r="D2023" i="1"/>
  <c r="D2022" i="1"/>
  <c r="D2021" i="1"/>
  <c r="D2020" i="1"/>
  <c r="D2019" i="1"/>
  <c r="D2018" i="1"/>
  <c r="D2017" i="1"/>
  <c r="D2016" i="1"/>
  <c r="D2015" i="1"/>
  <c r="D2014" i="1"/>
  <c r="D2013" i="1"/>
  <c r="D2012" i="1"/>
  <c r="D2011" i="1"/>
  <c r="D2010" i="1"/>
  <c r="D2009" i="1"/>
  <c r="D2008" i="1"/>
  <c r="D2007" i="1"/>
  <c r="D2006" i="1"/>
  <c r="D2005" i="1"/>
  <c r="D2004" i="1"/>
  <c r="D2003" i="1"/>
  <c r="D2002" i="1"/>
  <c r="D2001" i="1"/>
  <c r="D2000" i="1"/>
  <c r="D1999" i="1"/>
  <c r="D1998" i="1"/>
  <c r="D1997" i="1"/>
  <c r="D1996" i="1"/>
  <c r="D1995" i="1"/>
  <c r="D1994" i="1"/>
  <c r="D1993" i="1"/>
  <c r="D1992" i="1"/>
  <c r="D1991" i="1"/>
  <c r="D1990" i="1"/>
  <c r="D1989" i="1"/>
  <c r="D1988" i="1"/>
  <c r="D1987" i="1"/>
  <c r="D1986" i="1"/>
  <c r="D1985" i="1"/>
  <c r="D1984" i="1"/>
  <c r="D1983" i="1"/>
  <c r="D1982" i="1"/>
  <c r="D1981" i="1"/>
  <c r="D1980" i="1"/>
  <c r="D1979" i="1"/>
  <c r="D1978" i="1"/>
  <c r="D1977" i="1"/>
  <c r="D1976" i="1"/>
  <c r="D1975" i="1"/>
  <c r="D1974" i="1"/>
  <c r="D1973" i="1"/>
  <c r="D1972" i="1"/>
  <c r="D1971" i="1"/>
  <c r="D1970" i="1"/>
  <c r="D1969" i="1"/>
  <c r="D1968" i="1"/>
  <c r="D1967" i="1"/>
  <c r="D1966" i="1"/>
  <c r="D1965" i="1"/>
  <c r="D1964" i="1"/>
  <c r="D1963" i="1"/>
  <c r="D1962" i="1"/>
  <c r="D1961" i="1"/>
  <c r="D1960" i="1"/>
  <c r="D1959" i="1"/>
  <c r="D1958" i="1"/>
  <c r="D1957" i="1"/>
  <c r="D1956" i="1"/>
  <c r="D1955" i="1"/>
  <c r="D1954" i="1"/>
  <c r="D1953" i="1"/>
  <c r="D1952" i="1"/>
  <c r="D1951" i="1"/>
  <c r="D1950" i="1"/>
  <c r="D1949" i="1"/>
  <c r="D1948" i="1"/>
  <c r="D1947" i="1"/>
  <c r="D1946" i="1"/>
  <c r="D1945" i="1"/>
  <c r="D1944" i="1"/>
  <c r="D1943" i="1"/>
  <c r="D1942" i="1"/>
  <c r="D1941" i="1"/>
  <c r="D1940" i="1"/>
  <c r="D1939" i="1"/>
  <c r="D1938" i="1"/>
  <c r="D1937" i="1"/>
  <c r="D1936" i="1"/>
  <c r="D1935" i="1"/>
  <c r="D1934" i="1"/>
  <c r="D1933" i="1"/>
  <c r="D1932" i="1"/>
  <c r="D1931" i="1"/>
  <c r="D1930" i="1"/>
  <c r="D1929" i="1"/>
  <c r="D1928" i="1"/>
  <c r="D1927" i="1"/>
  <c r="D1926" i="1"/>
  <c r="D1925" i="1"/>
  <c r="D1924" i="1"/>
  <c r="D1923" i="1"/>
  <c r="D1922" i="1"/>
  <c r="D1921" i="1"/>
  <c r="D1920" i="1"/>
  <c r="D1919" i="1"/>
  <c r="D1918" i="1"/>
  <c r="D1917" i="1"/>
  <c r="D1916" i="1"/>
  <c r="D1915" i="1"/>
  <c r="D1914" i="1"/>
  <c r="D1913" i="1"/>
  <c r="D1912" i="1"/>
  <c r="D1911" i="1"/>
  <c r="D1910" i="1"/>
  <c r="D1909" i="1"/>
  <c r="D1908" i="1"/>
  <c r="D1907" i="1"/>
  <c r="D1906" i="1"/>
  <c r="D1905" i="1"/>
  <c r="D1904" i="1"/>
  <c r="D1903" i="1"/>
  <c r="D1902" i="1"/>
  <c r="D1901" i="1"/>
  <c r="D1900" i="1"/>
  <c r="D1899" i="1"/>
  <c r="D1898" i="1"/>
  <c r="D1897" i="1"/>
  <c r="D1896" i="1"/>
  <c r="D1895" i="1"/>
  <c r="D1894" i="1"/>
  <c r="D1893" i="1"/>
  <c r="D1892" i="1"/>
  <c r="D1891" i="1"/>
  <c r="D1890" i="1"/>
  <c r="D1889" i="1"/>
  <c r="D1888" i="1"/>
  <c r="D1887" i="1"/>
  <c r="D1886" i="1"/>
  <c r="D1885" i="1"/>
  <c r="D1884" i="1"/>
  <c r="D1883" i="1"/>
  <c r="D1882" i="1"/>
  <c r="D1881" i="1"/>
  <c r="D1880" i="1"/>
  <c r="D1879" i="1"/>
  <c r="D1878" i="1"/>
  <c r="D1877" i="1"/>
  <c r="D1876" i="1"/>
  <c r="D1875" i="1"/>
  <c r="D1874" i="1"/>
  <c r="D1873" i="1"/>
  <c r="D1872" i="1"/>
  <c r="D1871" i="1"/>
  <c r="D1870" i="1"/>
  <c r="D1869" i="1"/>
  <c r="D1868" i="1"/>
  <c r="D1867" i="1"/>
  <c r="D1866" i="1"/>
  <c r="D1865" i="1"/>
  <c r="D1864" i="1"/>
  <c r="D1863" i="1"/>
  <c r="D1862" i="1"/>
  <c r="D1861" i="1"/>
  <c r="D1860" i="1"/>
  <c r="D1859" i="1"/>
  <c r="D1858" i="1"/>
  <c r="D1857" i="1"/>
  <c r="D1856" i="1"/>
  <c r="D1855" i="1"/>
  <c r="D1854" i="1"/>
  <c r="D1853" i="1"/>
  <c r="D1852" i="1"/>
  <c r="D1851" i="1"/>
  <c r="D1850" i="1"/>
  <c r="D1849" i="1"/>
  <c r="D1848" i="1"/>
  <c r="D1847" i="1"/>
  <c r="D1846" i="1"/>
  <c r="D1845" i="1"/>
  <c r="D1844" i="1"/>
  <c r="D1843" i="1"/>
  <c r="D1842" i="1"/>
  <c r="D1841" i="1"/>
  <c r="D1840" i="1"/>
  <c r="D1839" i="1"/>
  <c r="D1838" i="1"/>
  <c r="D1837" i="1"/>
  <c r="D1836" i="1"/>
  <c r="D1835" i="1"/>
  <c r="D1834" i="1"/>
  <c r="D1833" i="1"/>
  <c r="D1832" i="1"/>
  <c r="D1831" i="1"/>
  <c r="D1830" i="1"/>
  <c r="D1829" i="1"/>
  <c r="D1828" i="1"/>
  <c r="D1827" i="1"/>
  <c r="D1826" i="1"/>
  <c r="D1825" i="1"/>
  <c r="D1824" i="1"/>
  <c r="D1823" i="1"/>
  <c r="D1822" i="1"/>
  <c r="D1821" i="1"/>
  <c r="D1820" i="1"/>
  <c r="D1819" i="1"/>
  <c r="D1818" i="1"/>
  <c r="D1817" i="1"/>
  <c r="D1816" i="1"/>
  <c r="D1815" i="1"/>
  <c r="D1814" i="1"/>
  <c r="D1813" i="1"/>
  <c r="D1812" i="1"/>
  <c r="D1811" i="1"/>
  <c r="D1810" i="1"/>
  <c r="D1809" i="1"/>
  <c r="D1808" i="1"/>
  <c r="D1807" i="1"/>
  <c r="D1806" i="1"/>
  <c r="D1805" i="1"/>
  <c r="D1804" i="1"/>
  <c r="D1803" i="1"/>
  <c r="D1802" i="1"/>
  <c r="D1801" i="1"/>
  <c r="D1800" i="1"/>
  <c r="D1799" i="1"/>
  <c r="D1798" i="1"/>
  <c r="D1797" i="1"/>
  <c r="D1796" i="1"/>
  <c r="D1795" i="1"/>
  <c r="D1793" i="1"/>
  <c r="D1792" i="1"/>
  <c r="D1791" i="1"/>
  <c r="D1790" i="1"/>
  <c r="D1789" i="1"/>
  <c r="D1788" i="1"/>
  <c r="D1787" i="1"/>
  <c r="D1786" i="1"/>
  <c r="D1785" i="1"/>
  <c r="D1784" i="1"/>
  <c r="D1783" i="1"/>
  <c r="D1782" i="1"/>
  <c r="D1781" i="1"/>
  <c r="D1780" i="1"/>
  <c r="D1779" i="1"/>
  <c r="D1778" i="1"/>
  <c r="D1777" i="1"/>
  <c r="D1776" i="1"/>
  <c r="D1775" i="1"/>
  <c r="D1774" i="1"/>
  <c r="D1773" i="1"/>
  <c r="D1772" i="1"/>
  <c r="D1771" i="1"/>
  <c r="D1770" i="1"/>
  <c r="D1769" i="1"/>
  <c r="D1768" i="1"/>
  <c r="D1767" i="1"/>
  <c r="D1766" i="1"/>
  <c r="D1765" i="1"/>
  <c r="D1764" i="1"/>
  <c r="D1763" i="1"/>
  <c r="D1762" i="1"/>
  <c r="D1761" i="1"/>
  <c r="D1760" i="1"/>
  <c r="D1759" i="1"/>
  <c r="D1758" i="1"/>
  <c r="D1757" i="1"/>
  <c r="D1756" i="1"/>
  <c r="D1755" i="1"/>
  <c r="D1754" i="1"/>
  <c r="D1753" i="1"/>
  <c r="D1752" i="1"/>
  <c r="D1751" i="1"/>
  <c r="D1750" i="1"/>
  <c r="D1749" i="1"/>
  <c r="D1748" i="1"/>
  <c r="D1747" i="1"/>
  <c r="D1746" i="1"/>
  <c r="D1745" i="1"/>
  <c r="D1744" i="1"/>
  <c r="D1743" i="1"/>
  <c r="D1742" i="1"/>
  <c r="D1741" i="1"/>
  <c r="D1740" i="1"/>
  <c r="D1739" i="1"/>
  <c r="D1738" i="1"/>
  <c r="D1737" i="1"/>
  <c r="D1736" i="1"/>
  <c r="D1735" i="1"/>
  <c r="D1734" i="1"/>
  <c r="D1733" i="1"/>
  <c r="D1732" i="1"/>
  <c r="D1731" i="1"/>
  <c r="D1730" i="1"/>
  <c r="D1729" i="1"/>
  <c r="D1728" i="1"/>
  <c r="D1727" i="1"/>
  <c r="D1726" i="1"/>
  <c r="D1725" i="1"/>
  <c r="D1724" i="1"/>
  <c r="D1723" i="1"/>
  <c r="D1722" i="1"/>
  <c r="D1721" i="1"/>
  <c r="D1720" i="1"/>
  <c r="D1719" i="1"/>
  <c r="D1718" i="1"/>
  <c r="D1717" i="1"/>
  <c r="D1716" i="1"/>
  <c r="D1715" i="1"/>
  <c r="D1714" i="1"/>
  <c r="D1713" i="1"/>
  <c r="D1712" i="1"/>
  <c r="D1711" i="1"/>
  <c r="D1710" i="1"/>
  <c r="D1709" i="1"/>
  <c r="D1708" i="1"/>
  <c r="D1707" i="1"/>
  <c r="D1706" i="1"/>
  <c r="D1705" i="1"/>
  <c r="D1704" i="1"/>
  <c r="D1703" i="1"/>
  <c r="D1702" i="1"/>
  <c r="D1701" i="1"/>
  <c r="D1700" i="1"/>
  <c r="D1699" i="1"/>
  <c r="D1698" i="1"/>
  <c r="D1697" i="1"/>
  <c r="D1696" i="1"/>
  <c r="D1695" i="1"/>
  <c r="D1694" i="1"/>
  <c r="D1693" i="1"/>
  <c r="D1692" i="1"/>
  <c r="D1691" i="1"/>
  <c r="D1690" i="1"/>
  <c r="D1689" i="1"/>
  <c r="D1688" i="1"/>
  <c r="D1687" i="1"/>
  <c r="D1686" i="1"/>
  <c r="D1685" i="1"/>
  <c r="D1684" i="1"/>
  <c r="D1683" i="1"/>
  <c r="D1682" i="1"/>
  <c r="D1681" i="1"/>
  <c r="D1680" i="1"/>
  <c r="D1679" i="1"/>
  <c r="D1678" i="1"/>
  <c r="D1677" i="1"/>
  <c r="D1676" i="1"/>
  <c r="D1675" i="1"/>
  <c r="D1674" i="1"/>
  <c r="D1673" i="1"/>
  <c r="D1672" i="1"/>
  <c r="D1671" i="1"/>
  <c r="D1670" i="1"/>
  <c r="D1669" i="1"/>
  <c r="D1668" i="1"/>
  <c r="D1667" i="1"/>
  <c r="D1666" i="1"/>
  <c r="D1665" i="1"/>
  <c r="D1664" i="1"/>
  <c r="D1663" i="1"/>
  <c r="D1662" i="1"/>
  <c r="D1661" i="1"/>
  <c r="D1660" i="1"/>
  <c r="D1659" i="1"/>
  <c r="D1658" i="1"/>
  <c r="D1657" i="1"/>
  <c r="D1656" i="1"/>
  <c r="D1655" i="1"/>
  <c r="D1654" i="1"/>
  <c r="D1653" i="1"/>
  <c r="D1652" i="1"/>
  <c r="D1651" i="1"/>
  <c r="D1650" i="1"/>
  <c r="D1649" i="1"/>
  <c r="D1648" i="1"/>
  <c r="D1647" i="1"/>
  <c r="D1646" i="1"/>
  <c r="D1645" i="1"/>
  <c r="D1644" i="1"/>
  <c r="D1643" i="1"/>
  <c r="D1642" i="1"/>
  <c r="D1641" i="1"/>
  <c r="D1640" i="1"/>
  <c r="D1639" i="1"/>
  <c r="D1638" i="1"/>
  <c r="D1637" i="1"/>
  <c r="D1636" i="1"/>
  <c r="D1635" i="1"/>
  <c r="D1634" i="1"/>
  <c r="D1633" i="1"/>
  <c r="D1632" i="1"/>
  <c r="D1631" i="1"/>
  <c r="D1630" i="1"/>
  <c r="D1629" i="1"/>
  <c r="D1628" i="1"/>
  <c r="D1627" i="1"/>
  <c r="D1626" i="1"/>
  <c r="D1625" i="1"/>
  <c r="D1624" i="1"/>
  <c r="D1623" i="1"/>
  <c r="D1622" i="1"/>
  <c r="D1621" i="1"/>
  <c r="D1620" i="1"/>
  <c r="D1619" i="1"/>
  <c r="D1618" i="1"/>
  <c r="D1617" i="1"/>
  <c r="D1616" i="1"/>
  <c r="D1615" i="1"/>
  <c r="D1614" i="1"/>
  <c r="D1613" i="1"/>
  <c r="D1612" i="1"/>
  <c r="D1611" i="1"/>
  <c r="D1610" i="1"/>
  <c r="D1609" i="1"/>
  <c r="D1608" i="1"/>
  <c r="D1607" i="1"/>
  <c r="D1606" i="1"/>
  <c r="D1605" i="1"/>
  <c r="D1604" i="1"/>
  <c r="D1603" i="1"/>
  <c r="D1602" i="1"/>
  <c r="D1601" i="1"/>
  <c r="D1600" i="1"/>
  <c r="D1599" i="1"/>
  <c r="D1598" i="1"/>
  <c r="D1597" i="1"/>
  <c r="D1596" i="1"/>
  <c r="D1595" i="1"/>
  <c r="D1594" i="1"/>
  <c r="D1593" i="1"/>
  <c r="D1592" i="1"/>
  <c r="D1591" i="1"/>
  <c r="D1590" i="1"/>
  <c r="D1589" i="1"/>
  <c r="D1588" i="1"/>
  <c r="D1587" i="1"/>
  <c r="D1586" i="1"/>
  <c r="D1585" i="1"/>
  <c r="D1584" i="1"/>
  <c r="D1583" i="1"/>
  <c r="D1582" i="1"/>
  <c r="D1581" i="1"/>
  <c r="D1580" i="1"/>
  <c r="D1579" i="1"/>
  <c r="D1578" i="1"/>
  <c r="D1577" i="1"/>
  <c r="D1576" i="1"/>
  <c r="D1575" i="1"/>
  <c r="D1574" i="1"/>
  <c r="D1573" i="1"/>
  <c r="D1572" i="1"/>
  <c r="D1571" i="1"/>
  <c r="D1570" i="1"/>
  <c r="D1569" i="1"/>
  <c r="D1568" i="1"/>
  <c r="D1567" i="1"/>
  <c r="D1566" i="1"/>
  <c r="D1565" i="1"/>
  <c r="D1564" i="1"/>
  <c r="D1563" i="1"/>
  <c r="D1562" i="1"/>
  <c r="D1561" i="1"/>
  <c r="D1560" i="1"/>
  <c r="D1559" i="1"/>
  <c r="D1558" i="1"/>
  <c r="D1557" i="1"/>
  <c r="D1556" i="1"/>
  <c r="D1555" i="1"/>
  <c r="D1554" i="1"/>
  <c r="D1553" i="1"/>
  <c r="D1552" i="1"/>
  <c r="D1551" i="1"/>
  <c r="D1550" i="1"/>
  <c r="D1549" i="1"/>
  <c r="D1548" i="1"/>
  <c r="D1547" i="1"/>
  <c r="D1546" i="1"/>
  <c r="D1545" i="1"/>
  <c r="D1544" i="1"/>
  <c r="D1543" i="1"/>
  <c r="D1542" i="1"/>
  <c r="D1541" i="1"/>
  <c r="D1540" i="1"/>
  <c r="D1539" i="1"/>
  <c r="D1538" i="1"/>
  <c r="D1537" i="1"/>
  <c r="D1536" i="1"/>
  <c r="D1535" i="1"/>
  <c r="D1534" i="1"/>
  <c r="D1533" i="1"/>
  <c r="D1532" i="1"/>
  <c r="D1531" i="1"/>
  <c r="D1530" i="1"/>
  <c r="D1529" i="1"/>
  <c r="D1528" i="1"/>
  <c r="D1527" i="1"/>
  <c r="D1526" i="1"/>
  <c r="D1525" i="1"/>
  <c r="D1524" i="1"/>
  <c r="D1523" i="1"/>
  <c r="D1522" i="1"/>
  <c r="D1521" i="1"/>
  <c r="D1520" i="1"/>
  <c r="D1519" i="1"/>
  <c r="D1518" i="1"/>
  <c r="D1517" i="1"/>
  <c r="D1516" i="1"/>
  <c r="D1515" i="1"/>
  <c r="D1514" i="1"/>
  <c r="D1513" i="1"/>
  <c r="D1512" i="1"/>
  <c r="D1511" i="1"/>
  <c r="D1510" i="1"/>
  <c r="D1509" i="1"/>
  <c r="D1508" i="1"/>
  <c r="D1507" i="1"/>
  <c r="D1506" i="1"/>
  <c r="D1505" i="1"/>
  <c r="D1504" i="1"/>
  <c r="D1503" i="1"/>
  <c r="D1502" i="1"/>
  <c r="D1501" i="1"/>
  <c r="D1500" i="1"/>
  <c r="D1499" i="1"/>
  <c r="D1498" i="1"/>
  <c r="D1497" i="1"/>
  <c r="D1496" i="1"/>
  <c r="D1495" i="1"/>
  <c r="D1494" i="1"/>
  <c r="D1493" i="1"/>
  <c r="D1492" i="1"/>
  <c r="D1491" i="1"/>
  <c r="D1490" i="1"/>
  <c r="D1489" i="1"/>
  <c r="D1488" i="1"/>
  <c r="D1487" i="1"/>
  <c r="D1486" i="1"/>
  <c r="D1485" i="1"/>
  <c r="D1484" i="1"/>
  <c r="D1483" i="1"/>
  <c r="D1482" i="1"/>
  <c r="D1477" i="1"/>
  <c r="D1480" i="1"/>
  <c r="D1479" i="1"/>
  <c r="D1478" i="1"/>
  <c r="D1476" i="1"/>
  <c r="D1475" i="1"/>
  <c r="D1474" i="1"/>
  <c r="D1471" i="1"/>
  <c r="D1473" i="1"/>
  <c r="D1472" i="1"/>
  <c r="D1470" i="1"/>
  <c r="D1466" i="1"/>
  <c r="D1469" i="1"/>
  <c r="D1468" i="1"/>
  <c r="D1467" i="1"/>
  <c r="D1462" i="1"/>
  <c r="D1465" i="1"/>
  <c r="D1464" i="1"/>
  <c r="D1463" i="1"/>
  <c r="D1461" i="1"/>
  <c r="D1455" i="1"/>
  <c r="D1460" i="1"/>
  <c r="D1459" i="1"/>
  <c r="D1458" i="1"/>
  <c r="D1457" i="1"/>
  <c r="D1456" i="1"/>
  <c r="D1454" i="1"/>
  <c r="D1450" i="1"/>
  <c r="D1453" i="1"/>
  <c r="D1452" i="1"/>
  <c r="D1451" i="1"/>
  <c r="D1447" i="1"/>
  <c r="D1449" i="1"/>
  <c r="D1448" i="1"/>
  <c r="D1443" i="1"/>
  <c r="D1446" i="1"/>
  <c r="D1445" i="1"/>
  <c r="D1444" i="1"/>
  <c r="D1441" i="1"/>
  <c r="D1442" i="1"/>
  <c r="D1439" i="1"/>
  <c r="D1440" i="1"/>
  <c r="D1438" i="1"/>
  <c r="D1435" i="1"/>
  <c r="D1437" i="1"/>
  <c r="D1436" i="1"/>
  <c r="D1432" i="1"/>
  <c r="D1434" i="1"/>
  <c r="D1433" i="1"/>
  <c r="D1430" i="1"/>
  <c r="D1431" i="1"/>
  <c r="D1426" i="1"/>
  <c r="D1429" i="1"/>
  <c r="D1428" i="1"/>
  <c r="D1427" i="1"/>
  <c r="D1424" i="1"/>
  <c r="D1425" i="1"/>
  <c r="D1423" i="1"/>
  <c r="D1419" i="1"/>
  <c r="D1422" i="1"/>
  <c r="D1421" i="1"/>
  <c r="D1420" i="1"/>
  <c r="D1415" i="1"/>
  <c r="D1418" i="1"/>
  <c r="D1417" i="1"/>
  <c r="D1416" i="1"/>
  <c r="D1413" i="1"/>
  <c r="D1414" i="1"/>
  <c r="D1407" i="1"/>
  <c r="D1412" i="1"/>
  <c r="D1411" i="1"/>
  <c r="D1410" i="1"/>
  <c r="D1409" i="1"/>
  <c r="D1408" i="1"/>
  <c r="D1399" i="1"/>
  <c r="D1406" i="1"/>
  <c r="D1405" i="1"/>
  <c r="D1404" i="1"/>
  <c r="D1403" i="1"/>
  <c r="D1402" i="1"/>
  <c r="D1401" i="1"/>
  <c r="D1400" i="1"/>
  <c r="D1397" i="1"/>
  <c r="D1398" i="1"/>
  <c r="D1396" i="1"/>
  <c r="D1388" i="1"/>
  <c r="D1395" i="1"/>
  <c r="D1394" i="1"/>
  <c r="D1393" i="1"/>
  <c r="D1392" i="1"/>
  <c r="D1391" i="1"/>
  <c r="D1390" i="1"/>
  <c r="D1389" i="1"/>
  <c r="D1383" i="1"/>
  <c r="D1386" i="1"/>
  <c r="D1385" i="1"/>
  <c r="D1384" i="1"/>
  <c r="D1377" i="1"/>
  <c r="D1382" i="1"/>
  <c r="D1381" i="1"/>
  <c r="D1379" i="1"/>
  <c r="D1378" i="1"/>
  <c r="D1376" i="1"/>
  <c r="D1373" i="1"/>
  <c r="D1375" i="1"/>
  <c r="D1374" i="1"/>
  <c r="D1369" i="1"/>
  <c r="D1372" i="1"/>
  <c r="D1371" i="1"/>
  <c r="D1370" i="1"/>
  <c r="D1368" i="1"/>
  <c r="D1362" i="1"/>
  <c r="D1367" i="1"/>
  <c r="D1365" i="1"/>
  <c r="D1364" i="1"/>
  <c r="D1363" i="1"/>
  <c r="D1361" i="1"/>
  <c r="D1360" i="1"/>
  <c r="D1355" i="1"/>
  <c r="D1359" i="1"/>
  <c r="D1358" i="1"/>
  <c r="D1357" i="1"/>
  <c r="D1356" i="1"/>
  <c r="D1353" i="1"/>
  <c r="D1354" i="1"/>
  <c r="D1352" i="1"/>
  <c r="D1351" i="1"/>
  <c r="D1350" i="1"/>
  <c r="D1348" i="1"/>
  <c r="D1349" i="1"/>
  <c r="D1347" i="1"/>
  <c r="D1346" i="1"/>
  <c r="D1345" i="1"/>
  <c r="D1344" i="1"/>
  <c r="D1343" i="1"/>
  <c r="D1342" i="1"/>
  <c r="D1341" i="1"/>
  <c r="D1340" i="1"/>
  <c r="D1339" i="1"/>
  <c r="D1338" i="1"/>
  <c r="D1337" i="1"/>
  <c r="D1336" i="1"/>
  <c r="D1335" i="1"/>
  <c r="D1334" i="1"/>
  <c r="D1333" i="1"/>
  <c r="D1332" i="1"/>
  <c r="D1329" i="1"/>
  <c r="D1331" i="1"/>
  <c r="D1330" i="1"/>
  <c r="D1328" i="1"/>
  <c r="D1327" i="1"/>
  <c r="D1326" i="1"/>
  <c r="D1325" i="1"/>
  <c r="D1324" i="1"/>
  <c r="D1323" i="1"/>
  <c r="D1322" i="1"/>
  <c r="D1321" i="1"/>
  <c r="D1320" i="1"/>
  <c r="D1319" i="1"/>
  <c r="D1317" i="1"/>
  <c r="D1318" i="1"/>
  <c r="D1316" i="1"/>
  <c r="D1315" i="1"/>
  <c r="D1312" i="1"/>
  <c r="D1314" i="1"/>
  <c r="D1313" i="1"/>
  <c r="D1311" i="1"/>
  <c r="D1310" i="1"/>
  <c r="D1307" i="1"/>
  <c r="D1309" i="1"/>
  <c r="D1308" i="1"/>
  <c r="D1306" i="1"/>
  <c r="D1305" i="1"/>
  <c r="D1304" i="1"/>
  <c r="D1303" i="1"/>
  <c r="D1302" i="1"/>
  <c r="D1301" i="1"/>
  <c r="D1298" i="1"/>
  <c r="D1300" i="1"/>
  <c r="D1299" i="1"/>
  <c r="D1297" i="1"/>
  <c r="D1296" i="1"/>
  <c r="D1295" i="1"/>
  <c r="D1294" i="1"/>
  <c r="D1293" i="1"/>
  <c r="D1292" i="1"/>
  <c r="D1291" i="1"/>
  <c r="D1290" i="1"/>
  <c r="D1288" i="1"/>
  <c r="D1289" i="1"/>
  <c r="D1287" i="1"/>
  <c r="D1286" i="1"/>
  <c r="D1285" i="1"/>
  <c r="D1284" i="1"/>
  <c r="D1283" i="1"/>
  <c r="D1281" i="1"/>
  <c r="D1282" i="1"/>
  <c r="D1280" i="1"/>
  <c r="D1279" i="1"/>
  <c r="D1278" i="1"/>
  <c r="D1274" i="1"/>
  <c r="D1277" i="1"/>
  <c r="D1276" i="1"/>
  <c r="D1275" i="1"/>
  <c r="D1273" i="1"/>
  <c r="D1270" i="1"/>
  <c r="D1272" i="1"/>
  <c r="D1271" i="1"/>
  <c r="D1266" i="1"/>
  <c r="D1269" i="1"/>
  <c r="D1268" i="1"/>
  <c r="D1267" i="1"/>
  <c r="D1265" i="1"/>
  <c r="D1264" i="1"/>
  <c r="D1263" i="1"/>
  <c r="D1259" i="1"/>
  <c r="D1262" i="1"/>
  <c r="D1261" i="1"/>
  <c r="D1260" i="1"/>
  <c r="D1258" i="1"/>
  <c r="D1255" i="1"/>
  <c r="D1257" i="1"/>
  <c r="D1256" i="1"/>
  <c r="D1254" i="1"/>
  <c r="D1253" i="1"/>
  <c r="D1252" i="1"/>
  <c r="D1248" i="1"/>
  <c r="D1251" i="1"/>
  <c r="D1250" i="1"/>
  <c r="D1249" i="1"/>
  <c r="D1247" i="1"/>
  <c r="D1246" i="1"/>
  <c r="D1244" i="1"/>
  <c r="D1245" i="1"/>
  <c r="D1242" i="1"/>
  <c r="D1243" i="1"/>
  <c r="D1241" i="1"/>
  <c r="D1240" i="1"/>
  <c r="D1238" i="1"/>
  <c r="D1239" i="1"/>
  <c r="D1237" i="1"/>
  <c r="D1234" i="1"/>
  <c r="D1236" i="1"/>
  <c r="D1235" i="1"/>
  <c r="D1232" i="1"/>
  <c r="D1233" i="1"/>
  <c r="D1231" i="1"/>
  <c r="D1229" i="1"/>
  <c r="D1230" i="1"/>
  <c r="D1228" i="1"/>
  <c r="D1222" i="1"/>
  <c r="D1227" i="1"/>
  <c r="D1226" i="1"/>
  <c r="D1225" i="1"/>
  <c r="D1224" i="1"/>
  <c r="D1223" i="1"/>
  <c r="D1221" i="1"/>
  <c r="D1220" i="1"/>
  <c r="D1219" i="1"/>
  <c r="D1218" i="1"/>
  <c r="D1217" i="1"/>
  <c r="D1216" i="1"/>
  <c r="D1214" i="1"/>
  <c r="D1215" i="1"/>
  <c r="D1213" i="1"/>
  <c r="D1212" i="1"/>
  <c r="D1211" i="1"/>
  <c r="D1210" i="1"/>
  <c r="D1209" i="1"/>
  <c r="D1208" i="1"/>
  <c r="D1207" i="1"/>
  <c r="D1206" i="1"/>
  <c r="D1205" i="1"/>
  <c r="D1204" i="1"/>
  <c r="D1202" i="1"/>
  <c r="D1203" i="1"/>
  <c r="D1201" i="1"/>
  <c r="D1200" i="1"/>
  <c r="D1199" i="1"/>
  <c r="D1196" i="1"/>
  <c r="D1198" i="1"/>
  <c r="D1197" i="1"/>
  <c r="D1194" i="1"/>
  <c r="D1195" i="1"/>
  <c r="D1193" i="1"/>
  <c r="D1191" i="1"/>
  <c r="D1192" i="1"/>
  <c r="D1186" i="1"/>
  <c r="D1190" i="1"/>
  <c r="D1189" i="1"/>
  <c r="D1188" i="1"/>
  <c r="D1187" i="1"/>
  <c r="D1185" i="1"/>
  <c r="D1182" i="1"/>
  <c r="D1184" i="1"/>
  <c r="D1183" i="1"/>
  <c r="D1181" i="1"/>
  <c r="D1180" i="1"/>
  <c r="D1179" i="1"/>
  <c r="D1178" i="1"/>
  <c r="D1176" i="1"/>
  <c r="D1177" i="1"/>
  <c r="D1175" i="1"/>
  <c r="D1174" i="1"/>
  <c r="D1173" i="1"/>
  <c r="D1168" i="1"/>
  <c r="D1172" i="1"/>
  <c r="D1171" i="1"/>
  <c r="D1170" i="1"/>
  <c r="D1169" i="1"/>
  <c r="D1166" i="1"/>
  <c r="D1167" i="1"/>
  <c r="D1165" i="1"/>
  <c r="D1164" i="1"/>
  <c r="D1162" i="1"/>
  <c r="D1163" i="1"/>
  <c r="D1161" i="1"/>
  <c r="D1160" i="1"/>
  <c r="D1158" i="1"/>
  <c r="D1159" i="1"/>
  <c r="D1157" i="1"/>
  <c r="D1156" i="1"/>
  <c r="D1154" i="1"/>
  <c r="D1155" i="1"/>
  <c r="D1153" i="1"/>
  <c r="D1152" i="1"/>
  <c r="D1151" i="1"/>
  <c r="D1146" i="1"/>
  <c r="D1150" i="1"/>
  <c r="D1149" i="1"/>
  <c r="D1148" i="1"/>
  <c r="D1147" i="1"/>
  <c r="D1142" i="1"/>
  <c r="D1145" i="1"/>
  <c r="D1144" i="1"/>
  <c r="D1143" i="1"/>
  <c r="D1140" i="1"/>
  <c r="D1141" i="1"/>
  <c r="D1137" i="1"/>
  <c r="D1139" i="1"/>
  <c r="D1138" i="1"/>
  <c r="D1136" i="1"/>
  <c r="D1135" i="1"/>
  <c r="D1134" i="1"/>
  <c r="D1133" i="1"/>
  <c r="D1132" i="1"/>
  <c r="D1130" i="1"/>
  <c r="D1131" i="1"/>
  <c r="D1127" i="1"/>
  <c r="D1129" i="1"/>
  <c r="D1128" i="1"/>
  <c r="D1126" i="1"/>
  <c r="D1125" i="1"/>
  <c r="D1122" i="1"/>
  <c r="D1124" i="1"/>
  <c r="D1123" i="1"/>
  <c r="D1119" i="1"/>
  <c r="D1121" i="1"/>
  <c r="D1120" i="1"/>
  <c r="D1117" i="1"/>
  <c r="D1118" i="1"/>
  <c r="D1115" i="1"/>
  <c r="D1116" i="1"/>
  <c r="D1110" i="1"/>
  <c r="D1114" i="1"/>
  <c r="D1113" i="1"/>
  <c r="D1112" i="1"/>
  <c r="D1111" i="1"/>
  <c r="D1108" i="1"/>
  <c r="D1109" i="1"/>
  <c r="D1105" i="1"/>
  <c r="D1107" i="1"/>
  <c r="D1106" i="1"/>
  <c r="D1104" i="1"/>
  <c r="D1102" i="1"/>
  <c r="D1103" i="1"/>
  <c r="D1101" i="1"/>
  <c r="D1100" i="1"/>
  <c r="D1098" i="1"/>
  <c r="D1099" i="1"/>
  <c r="D1097" i="1"/>
  <c r="D1095" i="1"/>
  <c r="D1096" i="1"/>
  <c r="D1093" i="1"/>
  <c r="D1094" i="1"/>
  <c r="D1092" i="1"/>
  <c r="D1091" i="1"/>
  <c r="D1090" i="1"/>
  <c r="D1088" i="1"/>
  <c r="D1089" i="1"/>
  <c r="D1087" i="1"/>
  <c r="D1085" i="1"/>
  <c r="D1086" i="1"/>
  <c r="D1082" i="1"/>
  <c r="D1084" i="1"/>
  <c r="D1083" i="1"/>
  <c r="D1080" i="1"/>
  <c r="D1081" i="1"/>
  <c r="D1078" i="1"/>
  <c r="D1079" i="1"/>
  <c r="D1076" i="1"/>
  <c r="D1077" i="1"/>
  <c r="D1075" i="1"/>
  <c r="D1074" i="1"/>
  <c r="D1073" i="1"/>
  <c r="D1072" i="1"/>
  <c r="D1071" i="1"/>
  <c r="D1070" i="1"/>
  <c r="D1066" i="1"/>
  <c r="D1069" i="1"/>
  <c r="D1068" i="1"/>
  <c r="D1067" i="1"/>
  <c r="D1065" i="1"/>
  <c r="D1064" i="1"/>
  <c r="D1062" i="1"/>
  <c r="D1063" i="1"/>
  <c r="D1061" i="1"/>
  <c r="D1060" i="1"/>
  <c r="D1059" i="1"/>
  <c r="D1058" i="1"/>
  <c r="D1057" i="1"/>
  <c r="D1055" i="1"/>
  <c r="D1056" i="1"/>
  <c r="D1050" i="1"/>
  <c r="D1054" i="1"/>
  <c r="D1052" i="1"/>
  <c r="D1051" i="1"/>
  <c r="D1049" i="1"/>
  <c r="D1046" i="1"/>
  <c r="D1048" i="1"/>
  <c r="D1047" i="1"/>
  <c r="D1042" i="1"/>
  <c r="D1045" i="1"/>
  <c r="D1044" i="1"/>
  <c r="D1043" i="1"/>
  <c r="D1037" i="1"/>
  <c r="D1040" i="1"/>
  <c r="D1039" i="1"/>
  <c r="D1038" i="1"/>
  <c r="D988" i="1"/>
  <c r="D1036" i="1"/>
  <c r="D1035" i="1"/>
  <c r="D1034" i="1"/>
  <c r="D1033" i="1"/>
  <c r="D1032" i="1"/>
  <c r="D1031" i="1"/>
  <c r="D1030" i="1"/>
  <c r="D1029" i="1"/>
  <c r="D1028" i="1"/>
  <c r="D1027" i="1"/>
  <c r="D1026" i="1"/>
  <c r="D1025" i="1"/>
  <c r="D1024" i="1"/>
  <c r="D1023" i="1"/>
  <c r="D1022" i="1"/>
  <c r="D1021" i="1"/>
  <c r="D1020" i="1"/>
  <c r="D1019" i="1"/>
  <c r="D1018" i="1"/>
  <c r="D1017" i="1"/>
  <c r="D1016" i="1"/>
  <c r="D1015" i="1"/>
  <c r="D1014" i="1"/>
  <c r="D1013" i="1"/>
  <c r="D1012" i="1"/>
  <c r="D1011" i="1"/>
  <c r="D1010" i="1"/>
  <c r="D1009" i="1"/>
  <c r="D1008" i="1"/>
  <c r="D1007" i="1"/>
  <c r="D1006" i="1"/>
  <c r="D1005" i="1"/>
  <c r="D1004" i="1"/>
  <c r="D1003" i="1"/>
  <c r="D1002" i="1"/>
  <c r="D1001" i="1"/>
  <c r="D1000" i="1"/>
  <c r="D999" i="1"/>
  <c r="D998" i="1"/>
  <c r="D997" i="1"/>
  <c r="D996" i="1"/>
  <c r="D995" i="1"/>
  <c r="D994" i="1"/>
  <c r="D993" i="1"/>
  <c r="D992" i="1"/>
  <c r="D991" i="1"/>
  <c r="D990" i="1"/>
  <c r="D989" i="1"/>
  <c r="D975" i="1"/>
  <c r="D987" i="1"/>
  <c r="D986" i="1"/>
  <c r="D985" i="1"/>
  <c r="D984" i="1"/>
  <c r="D983" i="1"/>
  <c r="D982" i="1"/>
  <c r="D981" i="1"/>
  <c r="D980" i="1"/>
  <c r="D979" i="1"/>
  <c r="D978" i="1"/>
  <c r="D977" i="1"/>
  <c r="D976" i="1"/>
  <c r="D973" i="1"/>
  <c r="D974" i="1"/>
  <c r="D970" i="1"/>
  <c r="D972" i="1"/>
  <c r="D971" i="1"/>
  <c r="D967" i="1"/>
  <c r="D969" i="1"/>
  <c r="D968" i="1"/>
  <c r="D965" i="1"/>
  <c r="D966" i="1"/>
  <c r="D955" i="1"/>
  <c r="D964" i="1"/>
  <c r="D963" i="1"/>
  <c r="D962" i="1"/>
  <c r="D961" i="1"/>
  <c r="D960" i="1"/>
  <c r="D959" i="1"/>
  <c r="D958" i="1"/>
  <c r="D957" i="1"/>
  <c r="D956" i="1"/>
  <c r="D953" i="1"/>
  <c r="D954" i="1"/>
  <c r="D947" i="1"/>
  <c r="D952" i="1"/>
  <c r="D951" i="1"/>
  <c r="D950" i="1"/>
  <c r="D949" i="1"/>
  <c r="D948" i="1"/>
  <c r="D944" i="1"/>
  <c r="D946" i="1"/>
  <c r="D945" i="1"/>
  <c r="D943" i="1"/>
  <c r="D940" i="1"/>
  <c r="D942" i="1"/>
  <c r="D941" i="1"/>
  <c r="D935" i="1"/>
  <c r="D939" i="1"/>
  <c r="D938" i="1"/>
  <c r="D937" i="1"/>
  <c r="D936" i="1"/>
  <c r="D934" i="1"/>
  <c r="D928" i="1"/>
  <c r="D933" i="1"/>
  <c r="D932" i="1"/>
  <c r="D931" i="1"/>
  <c r="D930" i="1"/>
  <c r="D929" i="1"/>
  <c r="D924" i="1"/>
  <c r="D927" i="1"/>
  <c r="D926" i="1"/>
  <c r="D925" i="1"/>
  <c r="D913" i="1"/>
  <c r="D923" i="1"/>
  <c r="D922" i="1"/>
  <c r="D921" i="1"/>
  <c r="D920" i="1"/>
  <c r="D919" i="1"/>
  <c r="D918" i="1"/>
  <c r="D917" i="1"/>
  <c r="D916" i="1"/>
  <c r="D915" i="1"/>
  <c r="D914" i="1"/>
  <c r="D908" i="1"/>
  <c r="D912" i="1"/>
  <c r="D911" i="1"/>
  <c r="D910" i="1"/>
  <c r="D909" i="1"/>
  <c r="D902" i="1"/>
  <c r="D907" i="1"/>
  <c r="D906" i="1"/>
  <c r="D905" i="1"/>
  <c r="D904" i="1"/>
  <c r="D903" i="1"/>
  <c r="D899" i="1"/>
  <c r="D901" i="1"/>
  <c r="D900" i="1"/>
  <c r="D896" i="1"/>
  <c r="D898" i="1"/>
  <c r="D897" i="1"/>
  <c r="D886" i="1"/>
  <c r="D895" i="1"/>
  <c r="D894" i="1"/>
  <c r="D893" i="1"/>
  <c r="D892" i="1"/>
  <c r="D891" i="1"/>
  <c r="D890" i="1"/>
  <c r="D889" i="1"/>
  <c r="D888" i="1"/>
  <c r="D887" i="1"/>
  <c r="D881" i="1"/>
  <c r="D885" i="1"/>
  <c r="D884" i="1"/>
  <c r="D883" i="1"/>
  <c r="D882" i="1"/>
  <c r="D879" i="1"/>
  <c r="D880" i="1"/>
  <c r="D878" i="1"/>
  <c r="D875" i="1"/>
  <c r="D877" i="1"/>
  <c r="D876" i="1"/>
  <c r="D874" i="1"/>
  <c r="D866" i="1"/>
  <c r="D873" i="1"/>
  <c r="D872" i="1"/>
  <c r="D871" i="1"/>
  <c r="D870" i="1"/>
  <c r="D869" i="1"/>
  <c r="D868" i="1"/>
  <c r="D867" i="1"/>
  <c r="D863" i="1"/>
  <c r="D865" i="1"/>
  <c r="D864" i="1"/>
  <c r="D862" i="1"/>
  <c r="D856" i="1"/>
  <c r="D861" i="1"/>
  <c r="D860" i="1"/>
  <c r="D859" i="1"/>
  <c r="D858" i="1"/>
  <c r="D857" i="1"/>
  <c r="D853" i="1"/>
  <c r="D855" i="1"/>
  <c r="D854" i="1"/>
  <c r="D847" i="1"/>
  <c r="D852" i="1"/>
  <c r="D851" i="1"/>
  <c r="D850" i="1"/>
  <c r="D849" i="1"/>
  <c r="D848" i="1"/>
  <c r="D845" i="1"/>
  <c r="D846" i="1"/>
  <c r="D844" i="1"/>
  <c r="D843" i="1"/>
  <c r="D842" i="1"/>
  <c r="D841" i="1"/>
  <c r="D837" i="1"/>
  <c r="D840" i="1"/>
  <c r="D839" i="1"/>
  <c r="D838" i="1"/>
  <c r="D835" i="1"/>
  <c r="D836" i="1"/>
  <c r="D834" i="1"/>
  <c r="D832" i="1"/>
  <c r="D833" i="1"/>
  <c r="D831" i="1"/>
  <c r="D827" i="1"/>
  <c r="D830" i="1"/>
  <c r="D829" i="1"/>
  <c r="D828" i="1"/>
  <c r="D825" i="1"/>
  <c r="D826" i="1"/>
  <c r="D824" i="1"/>
  <c r="D805" i="1"/>
  <c r="D823" i="1"/>
  <c r="D822" i="1"/>
  <c r="D821" i="1"/>
  <c r="D820" i="1"/>
  <c r="D819" i="1"/>
  <c r="D818" i="1"/>
  <c r="D817" i="1"/>
  <c r="D816" i="1"/>
  <c r="D815" i="1"/>
  <c r="D814" i="1"/>
  <c r="D813" i="1"/>
  <c r="D812" i="1"/>
  <c r="D811" i="1"/>
  <c r="D810" i="1"/>
  <c r="D809" i="1"/>
  <c r="D808" i="1"/>
  <c r="D807" i="1"/>
  <c r="D806" i="1"/>
  <c r="D804" i="1"/>
  <c r="D797" i="1"/>
  <c r="D803" i="1"/>
  <c r="D802" i="1"/>
  <c r="D801" i="1"/>
  <c r="D800" i="1"/>
  <c r="D799" i="1"/>
  <c r="D798" i="1"/>
  <c r="D791" i="1"/>
  <c r="D796" i="1"/>
  <c r="D795" i="1"/>
  <c r="D794" i="1"/>
  <c r="D793" i="1"/>
  <c r="D792" i="1"/>
  <c r="D779" i="1"/>
  <c r="D790" i="1"/>
  <c r="D789" i="1"/>
  <c r="D788" i="1"/>
  <c r="D787" i="1"/>
  <c r="D786" i="1"/>
  <c r="D785" i="1"/>
  <c r="D784" i="1"/>
  <c r="D783" i="1"/>
  <c r="D782" i="1"/>
  <c r="D781" i="1"/>
  <c r="D780" i="1"/>
  <c r="D775" i="1"/>
  <c r="D778" i="1"/>
  <c r="D777" i="1"/>
  <c r="D776" i="1"/>
  <c r="D773" i="1"/>
  <c r="D774" i="1"/>
  <c r="D771" i="1"/>
  <c r="D772" i="1"/>
  <c r="D769" i="1"/>
  <c r="D770" i="1"/>
  <c r="D766" i="1"/>
  <c r="D768" i="1"/>
  <c r="D767" i="1"/>
  <c r="D759" i="1"/>
  <c r="D765" i="1"/>
  <c r="D764" i="1"/>
  <c r="D763" i="1"/>
  <c r="D762" i="1"/>
  <c r="D761" i="1"/>
  <c r="D760" i="1"/>
  <c r="D747" i="1"/>
  <c r="D758" i="1"/>
  <c r="D757" i="1"/>
  <c r="D756" i="1"/>
  <c r="D755" i="1"/>
  <c r="D754" i="1"/>
  <c r="D753" i="1"/>
  <c r="D752" i="1"/>
  <c r="D751" i="1"/>
  <c r="D750" i="1"/>
  <c r="D749" i="1"/>
  <c r="D748" i="1"/>
  <c r="D740" i="1"/>
  <c r="D746" i="1"/>
  <c r="D745" i="1"/>
  <c r="D744" i="1"/>
  <c r="D743" i="1"/>
  <c r="D742" i="1"/>
  <c r="D741" i="1"/>
  <c r="D733" i="1"/>
  <c r="D739" i="1"/>
  <c r="D738" i="1"/>
  <c r="D737" i="1"/>
  <c r="D736" i="1"/>
  <c r="D735" i="1"/>
  <c r="D734" i="1"/>
  <c r="D730" i="1"/>
  <c r="D732" i="1"/>
  <c r="D731" i="1"/>
  <c r="D723" i="1"/>
  <c r="D728" i="1"/>
  <c r="D727" i="1"/>
  <c r="D726" i="1"/>
  <c r="D725" i="1"/>
  <c r="D724" i="1"/>
  <c r="D719" i="1"/>
  <c r="D722" i="1"/>
  <c r="D721" i="1"/>
  <c r="D720" i="1"/>
  <c r="D711" i="1"/>
  <c r="D718" i="1"/>
  <c r="D717" i="1"/>
  <c r="D716" i="1"/>
  <c r="D715" i="1"/>
  <c r="D714" i="1"/>
  <c r="D713" i="1"/>
  <c r="D712" i="1"/>
  <c r="D709" i="1"/>
  <c r="D710" i="1"/>
  <c r="D699" i="1"/>
  <c r="D708" i="1"/>
  <c r="D707" i="1"/>
  <c r="D706" i="1"/>
  <c r="D705" i="1"/>
  <c r="D704" i="1"/>
  <c r="D703" i="1"/>
  <c r="D702" i="1"/>
  <c r="D701" i="1"/>
  <c r="D700" i="1"/>
  <c r="D684" i="1"/>
  <c r="D698" i="1"/>
  <c r="D697" i="1"/>
  <c r="D696" i="1"/>
  <c r="D695" i="1"/>
  <c r="D694" i="1"/>
  <c r="D693" i="1"/>
  <c r="D692" i="1"/>
  <c r="D691" i="1"/>
  <c r="D690" i="1"/>
  <c r="D689" i="1"/>
  <c r="D688" i="1"/>
  <c r="D687" i="1"/>
  <c r="D686" i="1"/>
  <c r="D685" i="1"/>
  <c r="D677" i="1"/>
  <c r="D683" i="1"/>
  <c r="D682" i="1"/>
  <c r="D681" i="1"/>
  <c r="D680" i="1"/>
  <c r="D679" i="1"/>
  <c r="D678" i="1"/>
  <c r="D656" i="1"/>
  <c r="D676" i="1"/>
  <c r="D675" i="1"/>
  <c r="D674" i="1"/>
  <c r="D673" i="1"/>
  <c r="D672" i="1"/>
  <c r="D671" i="1"/>
  <c r="D670" i="1"/>
  <c r="D669" i="1"/>
  <c r="D668" i="1"/>
  <c r="D667" i="1"/>
  <c r="D666" i="1"/>
  <c r="D665" i="1"/>
  <c r="D664" i="1"/>
  <c r="D663" i="1"/>
  <c r="D662" i="1"/>
  <c r="D661" i="1"/>
  <c r="D660" i="1"/>
  <c r="D659" i="1"/>
  <c r="D658" i="1"/>
  <c r="D657" i="1"/>
  <c r="D648" i="1"/>
  <c r="D655" i="1"/>
  <c r="D654" i="1"/>
  <c r="D653" i="1"/>
  <c r="D652" i="1"/>
  <c r="D651" i="1"/>
  <c r="D650" i="1"/>
  <c r="D649" i="1"/>
  <c r="D631" i="1"/>
  <c r="D647" i="1"/>
  <c r="D646" i="1"/>
  <c r="D645" i="1"/>
  <c r="D644" i="1"/>
  <c r="D643" i="1"/>
  <c r="D642" i="1"/>
  <c r="D641" i="1"/>
  <c r="D640" i="1"/>
  <c r="D639" i="1"/>
  <c r="D638" i="1"/>
  <c r="D637" i="1"/>
  <c r="D636" i="1"/>
  <c r="D635" i="1"/>
  <c r="D634" i="1"/>
  <c r="D633" i="1"/>
  <c r="D632" i="1"/>
  <c r="D621" i="1"/>
  <c r="D630" i="1"/>
  <c r="D629" i="1"/>
  <c r="D628" i="1"/>
  <c r="D627" i="1"/>
  <c r="D626" i="1"/>
  <c r="D625" i="1"/>
  <c r="D624" i="1"/>
  <c r="D623" i="1"/>
  <c r="D622" i="1"/>
  <c r="D619" i="1"/>
  <c r="D620" i="1"/>
  <c r="D614" i="1"/>
  <c r="D618" i="1"/>
  <c r="D617" i="1"/>
  <c r="D616" i="1"/>
  <c r="D615" i="1"/>
  <c r="D599" i="1"/>
  <c r="D613" i="1"/>
  <c r="D612" i="1"/>
  <c r="D611" i="1"/>
  <c r="D610" i="1"/>
  <c r="D609" i="1"/>
  <c r="D608" i="1"/>
  <c r="D607" i="1"/>
  <c r="D606" i="1"/>
  <c r="D605" i="1"/>
  <c r="D604" i="1"/>
  <c r="D603" i="1"/>
  <c r="D602" i="1"/>
  <c r="D601" i="1"/>
  <c r="D600" i="1"/>
  <c r="D591" i="1"/>
  <c r="D598" i="1"/>
  <c r="D597" i="1"/>
  <c r="D596" i="1"/>
  <c r="D595" i="1"/>
  <c r="D594" i="1"/>
  <c r="D593" i="1"/>
  <c r="D592" i="1"/>
  <c r="D590" i="1"/>
  <c r="D578" i="1"/>
  <c r="D589" i="1"/>
  <c r="D588" i="1"/>
  <c r="D587" i="1"/>
  <c r="D586" i="1"/>
  <c r="D585" i="1"/>
  <c r="D584" i="1"/>
  <c r="D583" i="1"/>
  <c r="D582" i="1"/>
  <c r="D581" i="1"/>
  <c r="D580" i="1"/>
  <c r="D579" i="1"/>
  <c r="D570" i="1"/>
  <c r="D577" i="1"/>
  <c r="D576" i="1"/>
  <c r="D575" i="1"/>
  <c r="D574" i="1"/>
  <c r="D573" i="1"/>
  <c r="D572" i="1"/>
  <c r="D571" i="1"/>
  <c r="D560" i="1"/>
  <c r="D569" i="1"/>
  <c r="D568" i="1"/>
  <c r="D567" i="1"/>
  <c r="D566" i="1"/>
  <c r="D565" i="1"/>
  <c r="D564" i="1"/>
  <c r="D563" i="1"/>
  <c r="D562" i="1"/>
  <c r="D561" i="1"/>
  <c r="D518"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0" i="1"/>
  <c r="D517" i="1"/>
  <c r="D516" i="1"/>
  <c r="D515" i="1"/>
  <c r="D514" i="1"/>
  <c r="D513" i="1"/>
  <c r="D512" i="1"/>
  <c r="D511" i="1"/>
  <c r="D509" i="1"/>
  <c r="D502" i="1"/>
  <c r="D508" i="1"/>
  <c r="D507" i="1"/>
  <c r="D506" i="1"/>
  <c r="D505" i="1"/>
  <c r="D504" i="1"/>
  <c r="D503" i="1"/>
  <c r="D500" i="1"/>
  <c r="D501" i="1"/>
  <c r="D499" i="1"/>
  <c r="D497" i="1"/>
  <c r="D498" i="1"/>
  <c r="D496" i="1"/>
  <c r="D483" i="1"/>
  <c r="D495" i="1"/>
  <c r="D494" i="1"/>
  <c r="D493" i="1"/>
  <c r="D492" i="1"/>
  <c r="D491" i="1"/>
  <c r="D490" i="1"/>
  <c r="D489" i="1"/>
  <c r="D488" i="1"/>
  <c r="D487" i="1"/>
  <c r="D486" i="1"/>
  <c r="D485" i="1"/>
  <c r="D484" i="1"/>
  <c r="D481" i="1"/>
  <c r="D482" i="1"/>
  <c r="D479" i="1"/>
  <c r="D480" i="1"/>
  <c r="D478" i="1"/>
  <c r="D470" i="1"/>
  <c r="D477" i="1"/>
  <c r="D476" i="1"/>
  <c r="D475" i="1"/>
  <c r="D474" i="1"/>
  <c r="D473" i="1"/>
  <c r="D472" i="1"/>
  <c r="D471" i="1"/>
  <c r="D44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36" i="1"/>
  <c r="D439" i="1"/>
  <c r="D438" i="1"/>
  <c r="D437" i="1"/>
  <c r="D433" i="1"/>
  <c r="D435" i="1"/>
  <c r="D434" i="1"/>
  <c r="D430" i="1"/>
  <c r="D432" i="1"/>
  <c r="D431" i="1"/>
  <c r="D429" i="1"/>
  <c r="D426" i="1"/>
  <c r="D428" i="1"/>
  <c r="D427" i="1"/>
  <c r="D425" i="1"/>
  <c r="D422" i="1"/>
  <c r="D424" i="1"/>
  <c r="D423" i="1"/>
  <c r="D416" i="1"/>
  <c r="D421" i="1"/>
  <c r="D420" i="1"/>
  <c r="D419" i="1"/>
  <c r="D418" i="1"/>
  <c r="D417" i="1"/>
  <c r="D414" i="1"/>
  <c r="D415" i="1"/>
  <c r="D399" i="1"/>
  <c r="D413" i="1"/>
  <c r="D412" i="1"/>
  <c r="D411" i="1"/>
  <c r="D410" i="1"/>
  <c r="D409" i="1"/>
  <c r="D408" i="1"/>
  <c r="D407" i="1"/>
  <c r="D406" i="1"/>
  <c r="D405" i="1"/>
  <c r="D404" i="1"/>
  <c r="D403" i="1"/>
  <c r="D402" i="1"/>
  <c r="D401" i="1"/>
  <c r="D400" i="1"/>
  <c r="D388" i="1"/>
  <c r="D398" i="1"/>
  <c r="D397" i="1"/>
  <c r="D396" i="1"/>
  <c r="D395" i="1"/>
  <c r="D394" i="1"/>
  <c r="D393" i="1"/>
  <c r="D392" i="1"/>
  <c r="D391" i="1"/>
  <c r="D390" i="1"/>
  <c r="D389" i="1"/>
  <c r="D382" i="1"/>
  <c r="D387" i="1"/>
  <c r="D386" i="1"/>
  <c r="D385" i="1"/>
  <c r="D384" i="1"/>
  <c r="D383" i="1"/>
  <c r="D369" i="1"/>
  <c r="D381" i="1"/>
  <c r="D380" i="1"/>
  <c r="D379" i="1"/>
  <c r="D378" i="1"/>
  <c r="D377" i="1"/>
  <c r="D376" i="1"/>
  <c r="D375" i="1"/>
  <c r="D374" i="1"/>
  <c r="D373" i="1"/>
  <c r="D372" i="1"/>
  <c r="D371" i="1"/>
  <c r="D370" i="1"/>
  <c r="D367" i="1"/>
  <c r="D368" i="1"/>
  <c r="D366" i="1"/>
  <c r="D363" i="1"/>
  <c r="D365" i="1"/>
  <c r="D364" i="1"/>
  <c r="D362" i="1"/>
  <c r="D361" i="1"/>
  <c r="D360" i="1"/>
  <c r="D358" i="1"/>
  <c r="D349" i="1"/>
  <c r="D357" i="1"/>
  <c r="D356" i="1"/>
  <c r="D355" i="1"/>
  <c r="D354" i="1"/>
  <c r="D353" i="1"/>
  <c r="D352" i="1"/>
  <c r="D351" i="1"/>
  <c r="D350" i="1"/>
  <c r="D348" i="1"/>
  <c r="D347" i="1"/>
  <c r="D346" i="1"/>
  <c r="D341" i="1"/>
  <c r="D345" i="1"/>
  <c r="D344" i="1"/>
  <c r="D343" i="1"/>
  <c r="D342" i="1"/>
  <c r="D335" i="1"/>
  <c r="D340" i="1"/>
  <c r="D339" i="1"/>
  <c r="D338" i="1"/>
  <c r="D337" i="1"/>
  <c r="D336" i="1"/>
  <c r="D333" i="1"/>
  <c r="D334" i="1"/>
  <c r="D331" i="1"/>
  <c r="D332" i="1"/>
  <c r="D322" i="1"/>
  <c r="D330" i="1"/>
  <c r="D329" i="1"/>
  <c r="D328" i="1"/>
  <c r="D327" i="1"/>
  <c r="D326" i="1"/>
  <c r="D325" i="1"/>
  <c r="D324" i="1"/>
  <c r="D323" i="1"/>
  <c r="D316" i="1"/>
  <c r="D321" i="1"/>
  <c r="D320" i="1"/>
  <c r="D319" i="1"/>
  <c r="D318" i="1"/>
  <c r="D317" i="1"/>
  <c r="D314" i="1"/>
  <c r="D315" i="1"/>
  <c r="D306" i="1"/>
  <c r="D313" i="1"/>
  <c r="D312" i="1"/>
  <c r="D311" i="1"/>
  <c r="D310" i="1"/>
  <c r="D309" i="1"/>
  <c r="D308" i="1"/>
  <c r="D307" i="1"/>
  <c r="D303" i="1"/>
  <c r="D305" i="1"/>
  <c r="D304" i="1"/>
  <c r="D297" i="1"/>
  <c r="D302" i="1"/>
  <c r="D301" i="1"/>
  <c r="D300" i="1"/>
  <c r="D299" i="1"/>
  <c r="D298" i="1"/>
  <c r="D295" i="1"/>
  <c r="D296" i="1"/>
  <c r="D293" i="1"/>
  <c r="D294" i="1"/>
  <c r="D284" i="1"/>
  <c r="D292" i="1"/>
  <c r="D291" i="1"/>
  <c r="D290" i="1"/>
  <c r="D289" i="1"/>
  <c r="D288" i="1"/>
  <c r="D287" i="1"/>
  <c r="D286" i="1"/>
  <c r="D285" i="1"/>
  <c r="D279" i="1"/>
  <c r="D283" i="1"/>
  <c r="D282" i="1"/>
  <c r="D281" i="1"/>
  <c r="D280" i="1"/>
  <c r="D275" i="1"/>
  <c r="D278" i="1"/>
  <c r="D277" i="1"/>
  <c r="D276" i="1"/>
  <c r="D270" i="1"/>
  <c r="D274" i="1"/>
  <c r="D273" i="1"/>
  <c r="D272" i="1"/>
  <c r="D271" i="1"/>
  <c r="D252" i="1"/>
  <c r="D269" i="1"/>
  <c r="D268" i="1"/>
  <c r="D267" i="1"/>
  <c r="D266" i="1"/>
  <c r="D265" i="1"/>
  <c r="D264" i="1"/>
  <c r="D263" i="1"/>
  <c r="D262" i="1"/>
  <c r="D261" i="1"/>
  <c r="D260" i="1"/>
  <c r="D259" i="1"/>
  <c r="D258" i="1"/>
  <c r="D257" i="1"/>
  <c r="D256" i="1"/>
  <c r="D255" i="1"/>
  <c r="D254" i="1"/>
  <c r="D253" i="1"/>
  <c r="D243" i="1"/>
  <c r="D250" i="1"/>
  <c r="D249" i="1"/>
  <c r="D248" i="1"/>
  <c r="D247" i="1"/>
  <c r="D246" i="1"/>
  <c r="D245" i="1"/>
  <c r="D244" i="1"/>
  <c r="D239" i="1"/>
  <c r="D242" i="1"/>
  <c r="D241" i="1"/>
  <c r="D240" i="1"/>
  <c r="D238" i="1"/>
  <c r="D235" i="1"/>
  <c r="D237" i="1"/>
  <c r="D236" i="1"/>
  <c r="D234" i="1"/>
  <c r="D232" i="1"/>
  <c r="D233" i="1"/>
  <c r="D228" i="1"/>
  <c r="D231" i="1"/>
  <c r="D230" i="1"/>
  <c r="D229" i="1"/>
  <c r="D227" i="1"/>
  <c r="D226" i="1"/>
  <c r="D225" i="1"/>
  <c r="D223" i="1"/>
  <c r="D224" i="1"/>
  <c r="D222" i="1"/>
  <c r="D220" i="1"/>
  <c r="D221" i="1"/>
  <c r="D219" i="1"/>
  <c r="D218" i="1"/>
  <c r="D217" i="1"/>
  <c r="D216" i="1"/>
  <c r="D214" i="1"/>
  <c r="D215" i="1"/>
  <c r="D213" i="1"/>
  <c r="D212" i="1"/>
  <c r="D208" i="1"/>
  <c r="D211" i="1"/>
  <c r="D210" i="1"/>
  <c r="D209" i="1"/>
  <c r="D206" i="1"/>
  <c r="D207" i="1"/>
  <c r="D205" i="1"/>
  <c r="D204" i="1"/>
  <c r="D202" i="1"/>
  <c r="D203" i="1"/>
  <c r="D196" i="1"/>
  <c r="D201" i="1"/>
  <c r="D200" i="1"/>
  <c r="D199" i="1"/>
  <c r="D198" i="1"/>
  <c r="D197" i="1"/>
  <c r="D190" i="1"/>
  <c r="D195" i="1"/>
  <c r="D194" i="1"/>
  <c r="D193" i="1"/>
  <c r="D192" i="1"/>
  <c r="D191" i="1"/>
  <c r="D187" i="1"/>
  <c r="D189" i="1"/>
  <c r="D188" i="1"/>
  <c r="D184" i="1"/>
  <c r="D186" i="1"/>
  <c r="D185" i="1"/>
  <c r="D180" i="1"/>
  <c r="D183" i="1"/>
  <c r="D182" i="1"/>
  <c r="D181" i="1"/>
  <c r="D179" i="1"/>
  <c r="D169" i="1"/>
  <c r="D178" i="1"/>
  <c r="D177" i="1"/>
  <c r="D176" i="1"/>
  <c r="D175" i="1"/>
  <c r="D174" i="1"/>
  <c r="D173" i="1"/>
  <c r="D172" i="1"/>
  <c r="D171" i="1"/>
  <c r="D170" i="1"/>
  <c r="D164" i="1"/>
  <c r="D168" i="1"/>
  <c r="D167" i="1"/>
  <c r="D166" i="1"/>
  <c r="D165" i="1"/>
  <c r="D159" i="1"/>
  <c r="D163" i="1"/>
  <c r="D162" i="1"/>
  <c r="D161" i="1"/>
  <c r="D160" i="1"/>
  <c r="D156" i="1"/>
  <c r="D158" i="1"/>
  <c r="D157" i="1"/>
  <c r="D155" i="1"/>
  <c r="D152" i="1"/>
  <c r="D153" i="1"/>
  <c r="D151" i="1"/>
  <c r="D150" i="1"/>
  <c r="D149" i="1"/>
  <c r="D148" i="1"/>
  <c r="D147" i="1"/>
  <c r="D145" i="1"/>
  <c r="D146" i="1"/>
  <c r="D144" i="1"/>
  <c r="D143" i="1"/>
  <c r="D141" i="1"/>
  <c r="D142" i="1"/>
  <c r="D140" i="1"/>
  <c r="D139" i="1"/>
  <c r="D138" i="1"/>
  <c r="D137" i="1"/>
  <c r="D136" i="1"/>
  <c r="D133" i="1"/>
  <c r="D135" i="1"/>
  <c r="D134" i="1"/>
  <c r="D132" i="1"/>
  <c r="D130" i="1"/>
  <c r="D131" i="1"/>
  <c r="D129" i="1"/>
  <c r="D128" i="1"/>
  <c r="D127" i="1"/>
  <c r="D126" i="1"/>
  <c r="D125" i="1"/>
  <c r="D124" i="1"/>
  <c r="D123" i="1"/>
  <c r="D122" i="1"/>
  <c r="D121" i="1"/>
  <c r="D119" i="1"/>
  <c r="D120" i="1"/>
  <c r="D118" i="1"/>
  <c r="D117" i="1"/>
  <c r="D116" i="1"/>
  <c r="D113" i="1"/>
  <c r="D114" i="1"/>
  <c r="D106" i="1"/>
  <c r="D112" i="1"/>
  <c r="D111" i="1"/>
  <c r="D110" i="1"/>
  <c r="D109" i="1"/>
  <c r="D108" i="1"/>
  <c r="D107" i="1"/>
  <c r="D94" i="1"/>
  <c r="D105" i="1"/>
  <c r="D104" i="1"/>
  <c r="D103" i="1"/>
  <c r="D102" i="1"/>
  <c r="D101" i="1"/>
  <c r="D100" i="1"/>
  <c r="D99" i="1"/>
  <c r="D98" i="1"/>
  <c r="D97" i="1"/>
  <c r="D96" i="1"/>
  <c r="D95" i="1"/>
  <c r="D89" i="1"/>
  <c r="D93" i="1"/>
  <c r="D92" i="1"/>
  <c r="D91" i="1"/>
  <c r="D90" i="1"/>
  <c r="D88" i="1"/>
  <c r="D87" i="1"/>
  <c r="D80" i="1"/>
  <c r="D86" i="1"/>
  <c r="D85" i="1"/>
  <c r="D84" i="1"/>
  <c r="D83" i="1"/>
  <c r="D82" i="1"/>
  <c r="D81" i="1"/>
  <c r="D78" i="1"/>
  <c r="D79" i="1"/>
  <c r="D75" i="1"/>
  <c r="D77" i="1"/>
  <c r="D76" i="1"/>
  <c r="D71" i="1"/>
  <c r="D74" i="1"/>
  <c r="D73" i="1"/>
  <c r="D72" i="1"/>
  <c r="D69" i="1"/>
  <c r="D70" i="1"/>
  <c r="D67" i="1"/>
  <c r="D68" i="1"/>
  <c r="D66" i="1"/>
  <c r="D61" i="1"/>
  <c r="D65" i="1"/>
  <c r="D64" i="1"/>
  <c r="D63" i="1"/>
  <c r="D62" i="1"/>
  <c r="D57" i="1"/>
  <c r="D60" i="1"/>
  <c r="D59" i="1"/>
  <c r="D58" i="1"/>
  <c r="D52" i="1"/>
  <c r="D56" i="1"/>
  <c r="D55" i="1"/>
  <c r="D54" i="1"/>
  <c r="D53" i="1"/>
  <c r="D51" i="1"/>
  <c r="D49" i="1"/>
  <c r="D50" i="1"/>
  <c r="D46" i="1"/>
  <c r="D48" i="1"/>
  <c r="D47" i="1"/>
  <c r="D45" i="1"/>
  <c r="D41" i="1"/>
  <c r="D44" i="1"/>
  <c r="D43" i="1"/>
  <c r="D42" i="1"/>
  <c r="D39" i="1"/>
  <c r="D40" i="1"/>
  <c r="D38" i="1"/>
  <c r="D37" i="1"/>
  <c r="D11" i="1"/>
  <c r="D36" i="1"/>
  <c r="D35" i="1"/>
  <c r="D34" i="1"/>
  <c r="D33" i="1"/>
  <c r="D32" i="1"/>
  <c r="D31" i="1"/>
  <c r="D30" i="1"/>
  <c r="D29" i="1"/>
  <c r="D28" i="1"/>
  <c r="D27" i="1"/>
  <c r="D26" i="1"/>
  <c r="D25" i="1"/>
  <c r="D24" i="1"/>
  <c r="D23" i="1"/>
  <c r="D22" i="1"/>
  <c r="D21" i="1"/>
  <c r="D20" i="1"/>
  <c r="D19" i="1"/>
  <c r="D17" i="1"/>
  <c r="D16" i="1"/>
  <c r="D15" i="1"/>
  <c r="D14" i="1"/>
  <c r="D13" i="1"/>
  <c r="D12" i="1"/>
  <c r="D1481" i="1"/>
  <c r="D6" i="1"/>
  <c r="D5" i="1"/>
  <c r="D4" i="1"/>
  <c r="D3" i="1"/>
</calcChain>
</file>

<file path=xl/sharedStrings.xml><?xml version="1.0" encoding="utf-8"?>
<sst xmlns="http://schemas.openxmlformats.org/spreadsheetml/2006/main" count="30766" uniqueCount="4662">
  <si>
    <t>Provider Type Description</t>
  </si>
  <si>
    <t>NPI</t>
  </si>
  <si>
    <t>Action</t>
  </si>
  <si>
    <t>Objection</t>
  </si>
  <si>
    <t># Requesting</t>
  </si>
  <si>
    <t xml:space="preserve">Provider Type </t>
  </si>
  <si>
    <t>Provider type (criteria code) of the provider</t>
  </si>
  <si>
    <t>Description:</t>
  </si>
  <si>
    <t>Description of the provider type</t>
  </si>
  <si>
    <t>NPI of provider</t>
  </si>
  <si>
    <t>Number of issuers requesting the proposed action</t>
  </si>
  <si>
    <t>Data Starts Here ==&gt;</t>
  </si>
  <si>
    <t>Remove</t>
  </si>
  <si>
    <t>Add</t>
  </si>
  <si>
    <t>Proposed action to be taken:
Add - add this provider to the  type
Remove - remove this provider</t>
  </si>
  <si>
    <t>NAIC</t>
  </si>
  <si>
    <t>Issuer's NAIC making objection</t>
  </si>
  <si>
    <t>Reasons</t>
  </si>
  <si>
    <t>Reasons supplied by the issuer(s) requesting the proposed action</t>
  </si>
  <si>
    <t>1. Overview and Purpose</t>
  </si>
  <si>
    <t>Issuer Response</t>
  </si>
  <si>
    <r>
      <t>Brief reason if disagreeing</t>
    </r>
    <r>
      <rPr>
        <i/>
        <sz val="10"/>
        <color theme="1"/>
        <rFont val="Calibri"/>
        <family val="2"/>
        <scheme val="minor"/>
      </rPr>
      <t>.</t>
    </r>
  </si>
  <si>
    <t>Disagree</t>
  </si>
  <si>
    <t>Agree</t>
  </si>
  <si>
    <t xml:space="preserve">Issuer's response to the suggested change. Valid responses are
1) Agree 2) Disagree or 3) Insufficient data conveying no opinion.
</t>
  </si>
  <si>
    <r>
      <rPr>
        <b/>
        <i/>
        <sz val="11"/>
        <color theme="1"/>
        <rFont val="Calibri"/>
        <family val="2"/>
        <scheme val="minor"/>
      </rPr>
      <t>Who uses this template and why?</t>
    </r>
    <r>
      <rPr>
        <sz val="11"/>
        <color theme="1"/>
        <rFont val="Calibri"/>
        <family val="2"/>
        <scheme val="minor"/>
      </rPr>
      <t xml:space="preserve">
All issuers covered by Arkansas Rule 106 need to use this template towards maintenance of the Provider Type-NPI Pools (PTNPs). This template is for issuer to vote on industry supplied feedback on changes required through additions and/or removals of NPI within different Provider Types (codified as “Criteria Code”). The feedback on changes to the PTNPs was provided by the issuers to Arkansas Insurance Department (AID) for stakeholder consensus processing in a prior phase.  
Each provider within this list must be evaluated for accuracy of the suggested </t>
    </r>
    <r>
      <rPr>
        <i/>
        <sz val="11"/>
        <color theme="1"/>
        <rFont val="Calibri"/>
        <family val="2"/>
        <scheme val="minor"/>
      </rPr>
      <t>addition or deletion of a particular NPI within a Criteria Code</t>
    </r>
    <r>
      <rPr>
        <sz val="11"/>
        <color theme="1"/>
        <rFont val="Calibri"/>
        <family val="2"/>
        <scheme val="minor"/>
      </rPr>
      <t xml:space="preserve">.  If an issuer determines a provider should </t>
    </r>
    <r>
      <rPr>
        <b/>
        <i/>
        <sz val="11"/>
        <color theme="1"/>
        <rFont val="Calibri"/>
        <family val="2"/>
        <scheme val="minor"/>
      </rPr>
      <t>not</t>
    </r>
    <r>
      <rPr>
        <sz val="11"/>
        <color theme="1"/>
        <rFont val="Calibri"/>
        <family val="2"/>
        <scheme val="minor"/>
      </rPr>
      <t xml:space="preserve"> be added or deleted to the Criteria-Code, the objection must be supplied in the column labeled "Issuer Response" with the value </t>
    </r>
    <r>
      <rPr>
        <i/>
        <sz val="11"/>
        <color rgb="FFFF0000"/>
        <rFont val="Calibri"/>
        <family val="2"/>
        <scheme val="minor"/>
      </rPr>
      <t>Disagree</t>
    </r>
    <r>
      <rPr>
        <sz val="11"/>
        <color theme="1"/>
        <rFont val="Calibri"/>
        <family val="2"/>
        <scheme val="minor"/>
      </rPr>
      <t xml:space="preserve">. If the issuer determines from in-house data  that the change is valid,  enter </t>
    </r>
    <r>
      <rPr>
        <i/>
        <sz val="11"/>
        <color rgb="FFFF0000"/>
        <rFont val="Calibri"/>
        <family val="2"/>
        <scheme val="minor"/>
      </rPr>
      <t>Agree</t>
    </r>
    <r>
      <rPr>
        <sz val="11"/>
        <color theme="1"/>
        <rFont val="Calibri"/>
        <family val="2"/>
        <scheme val="minor"/>
      </rPr>
      <t xml:space="preserve"> within the  "Issuer Response"  column. If the issuer does not have any reliable data to determine validity of the change they should enter the value  </t>
    </r>
    <r>
      <rPr>
        <i/>
        <sz val="11"/>
        <color rgb="FFFF0000"/>
        <rFont val="Calibri"/>
        <family val="2"/>
        <scheme val="minor"/>
      </rPr>
      <t>Insufficient Data</t>
    </r>
    <r>
      <rPr>
        <sz val="11"/>
        <color theme="1"/>
        <rFont val="Calibri"/>
        <family val="2"/>
        <scheme val="minor"/>
      </rPr>
      <t xml:space="preserve">  within the same "Issuer Response" column. Issuers are required to provide a brief reason in the "Objection" column in case they disagree with the change. The issuers NAIC number (not HIOS number) must be entered in the column labeled "NAIC."  
The responses will be aggregated from all issuers by AID to create the  finalized PTNPs that are the inputs for geo-analysis reports provided to AID that include average distance calculation and enrollee-provider ratios. 
</t>
    </r>
    <r>
      <rPr>
        <b/>
        <sz val="11"/>
        <color theme="1"/>
        <rFont val="Calibri"/>
        <family val="2"/>
        <scheme val="minor"/>
      </rPr>
      <t>Note: Dental providers need only pay attention to suggestions within categories C250 and C260.</t>
    </r>
    <r>
      <rPr>
        <sz val="11"/>
        <color theme="1"/>
        <rFont val="Calibri"/>
        <family val="2"/>
        <scheme val="minor"/>
      </rPr>
      <t xml:space="preserve">
</t>
    </r>
  </si>
  <si>
    <t>Name</t>
  </si>
  <si>
    <t>‘Y' if NPI found in previous plan year's ECP/NA submissions by any issuer</t>
  </si>
  <si>
    <t>In ECP/NA</t>
  </si>
  <si>
    <t>2025 Round 2 Industry Addition-Deletion Suggestions</t>
  </si>
  <si>
    <t>A280</t>
  </si>
  <si>
    <t>Pharmacy</t>
  </si>
  <si>
    <t>Y</t>
  </si>
  <si>
    <t>WALGREEN CO</t>
  </si>
  <si>
    <t>MAINLINE PHARMACY SERVICES INC</t>
  </si>
  <si>
    <t>WEST SIDE PHARMACY INCORPORATED</t>
  </si>
  <si>
    <t>MVP WARREN LLC</t>
  </si>
  <si>
    <t>GENOA HEALTHCARE LLC</t>
  </si>
  <si>
    <t xml:space="preserve">New To ESI </t>
  </si>
  <si>
    <t>BAPTIST HEALTH</t>
  </si>
  <si>
    <t>F002</t>
  </si>
  <si>
    <t>Cardiac Catheterization Services</t>
  </si>
  <si>
    <t>CENTRAL ARKANSAS REHABILITATION ASSOCIATES, L.P.</t>
  </si>
  <si>
    <t>Provider does not offer Cardiac Cath services.  This is an IP Physical Rehab facility.</t>
  </si>
  <si>
    <t>Provider does not offer Cardiac Cath services.  This is an RHC Clinic</t>
  </si>
  <si>
    <t>LEO N LEVI MEMORIAL HOSPITAL ASSOCIATION</t>
  </si>
  <si>
    <t>Provider does not offer Cardiac Surgery services.  This NPI 1639346687 is an IP Physical Rehab facility.</t>
  </si>
  <si>
    <t>F003</t>
  </si>
  <si>
    <t>Cardiac Surgery Program</t>
  </si>
  <si>
    <t>Provider does not offer Cardiac Surgery services.  This is an IP Physical Rehab facility.</t>
  </si>
  <si>
    <t>Provider does not offer Cardiac Surgery services.  This is an RHC Clinic</t>
  </si>
  <si>
    <t>F006</t>
  </si>
  <si>
    <t>Inpatient or Residential Behavioral Health Facility Services</t>
  </si>
  <si>
    <t>LONGBRANCH OUTPATIENT RECOVERY, LLC</t>
  </si>
  <si>
    <t>F007</t>
  </si>
  <si>
    <t>Mammography</t>
  </si>
  <si>
    <t>Provider does not offer Mammography services.  This is an IP Rehab facility.</t>
  </si>
  <si>
    <t>BAPTIST HEALTH REGIONAL HOSPITALS</t>
  </si>
  <si>
    <t>Provider does not offer Mammography services.  This is an RHC Clinic</t>
  </si>
  <si>
    <t>Provider does not offer Mammography services.  This NPI 1639346687 is an IP Physical Rehab facility.</t>
  </si>
  <si>
    <t>F010</t>
  </si>
  <si>
    <t>Surgical Services</t>
  </si>
  <si>
    <t>Provider does not offer Surgical services.  This NPI 1639346687 is an IP Physical Rehab facility.</t>
  </si>
  <si>
    <t>F011</t>
  </si>
  <si>
    <t>Urgent Care</t>
  </si>
  <si>
    <t>MENA HOSPITAL COMMISSION</t>
  </si>
  <si>
    <t>This provider does not provide urgent care. The address listed are for an Acute Care Hospital</t>
  </si>
  <si>
    <t>P012</t>
  </si>
  <si>
    <t>Allergy and Immunology</t>
  </si>
  <si>
    <t>MEHL, JOHN</t>
  </si>
  <si>
    <t>OLAYA, JULIO</t>
  </si>
  <si>
    <t>Listed location is Arkansas Spine and Pain. Internal data shows practitioner is not located at this location. Pain treatment prac, not allergy/immunology. https://www.arkansasspineandpain.com/julio-olaya-md, Specialty is pain management. Not allergist</t>
  </si>
  <si>
    <t>TUL LLAH, SIBGHAT</t>
  </si>
  <si>
    <t>PATTANAIK, DEBENDRA</t>
  </si>
  <si>
    <t>YUNUS, NAUMAN</t>
  </si>
  <si>
    <t>ILYAS, MOHAMMED</t>
  </si>
  <si>
    <t>KITCHAROENSAKKUL, MALEEWAN</t>
  </si>
  <si>
    <t>KHANZADA, MOHAMMED</t>
  </si>
  <si>
    <t>Listed location is Pain Treatment Centers of America. Internal data shows practitioner located elsewhere. Pain treatment prac, not allergy/immunology. https://www.ptcoa.com/dr-mohammed-khanzada</t>
  </si>
  <si>
    <t>HUTCHESON, JAMES</t>
  </si>
  <si>
    <t>P013</t>
  </si>
  <si>
    <t>Cardiology</t>
  </si>
  <si>
    <t>RYAN, SCOTT</t>
  </si>
  <si>
    <t>BAVINENI, MAHESH</t>
  </si>
  <si>
    <t>EMGE, FREDERICK</t>
  </si>
  <si>
    <t>DICUS, GEORGE</t>
  </si>
  <si>
    <t>ASKARI, RAZA</t>
  </si>
  <si>
    <t>Active network practitioner</t>
  </si>
  <si>
    <t>BALLWEG, JEAN</t>
  </si>
  <si>
    <t>METTLER, BRET</t>
  </si>
  <si>
    <t>CONNERLY, ABIGAIL</t>
  </si>
  <si>
    <t>BETANCOR, JORGE</t>
  </si>
  <si>
    <t>MALKAWI, ABDALLAH</t>
  </si>
  <si>
    <t>RABORN, MICHAEL</t>
  </si>
  <si>
    <t>VIERON, LEONIDAS</t>
  </si>
  <si>
    <t>ROBBINS, EDWARD</t>
  </si>
  <si>
    <t>JOSEF, STANLEY</t>
  </si>
  <si>
    <t>FAZ, GABRIEL</t>
  </si>
  <si>
    <t>AGNONE, JOHN</t>
  </si>
  <si>
    <t>WOOD, RUSSELL</t>
  </si>
  <si>
    <t>AGRAWAL, SUBODH</t>
  </si>
  <si>
    <t>WOLF, BRADLEY</t>
  </si>
  <si>
    <t>ONUORA, AFAMEFUNA</t>
  </si>
  <si>
    <t>KUMAR, ANIL</t>
  </si>
  <si>
    <t>SINHA, ARCHANA</t>
  </si>
  <si>
    <t>MOLLOY, ASHLEY</t>
  </si>
  <si>
    <t>LAJOS, PAUL</t>
  </si>
  <si>
    <t>PATTERSON, JAMES</t>
  </si>
  <si>
    <t>ALHADDAD, MOHSIN</t>
  </si>
  <si>
    <t>HAVDALA, JACK</t>
  </si>
  <si>
    <t>STAM, MARC</t>
  </si>
  <si>
    <t>MUDY, KAROL</t>
  </si>
  <si>
    <t>MEDURI, CHRISTOPHER</t>
  </si>
  <si>
    <t>RODRIGUEZ, SANDRA</t>
  </si>
  <si>
    <t>ATHAR, SYED</t>
  </si>
  <si>
    <t>WARNER, ROBERT</t>
  </si>
  <si>
    <t>RUTLAND, JOSHUA</t>
  </si>
  <si>
    <t>GOLDBERG, JASON</t>
  </si>
  <si>
    <t>HENDRICH, MATTHEW</t>
  </si>
  <si>
    <t>BEG, MOEEZULLAH</t>
  </si>
  <si>
    <t>FREELAND, KRISTOFER</t>
  </si>
  <si>
    <t>WARD, FORREST</t>
  </si>
  <si>
    <t>COOK, JENNIFER</t>
  </si>
  <si>
    <t>WANG, DAI-YUAN</t>
  </si>
  <si>
    <t>AWAR, ZIAD</t>
  </si>
  <si>
    <t>CHAUVIN, EDGAR</t>
  </si>
  <si>
    <t>BEASLEY, GARY</t>
  </si>
  <si>
    <t>HUDSON, HILTON</t>
  </si>
  <si>
    <t>TUKAYE, DEEPALI</t>
  </si>
  <si>
    <t>CITRIN, BENJAMIN</t>
  </si>
  <si>
    <t>BHAMA, JAY</t>
  </si>
  <si>
    <t>ANANDAM, ANIL</t>
  </si>
  <si>
    <t>ABDULNABI, YOUSEF</t>
  </si>
  <si>
    <t>FILSOOF, DAVID</t>
  </si>
  <si>
    <t>KAUL, RISHEEK</t>
  </si>
  <si>
    <t>Taxonomy code not on list</t>
  </si>
  <si>
    <t>DUPLANTIS, ALLEN</t>
  </si>
  <si>
    <t>GOOTY, VASU</t>
  </si>
  <si>
    <t>NGUYEN, CINDY</t>
  </si>
  <si>
    <t>AID determination based on provider research</t>
  </si>
  <si>
    <t>ISAACSON, MICHAEL</t>
  </si>
  <si>
    <t>Retired</t>
  </si>
  <si>
    <t>MCDERMOTT, TIMOTHY</t>
  </si>
  <si>
    <t>BARRUS, BRYAN</t>
  </si>
  <si>
    <t>KENNEDY, DAMON</t>
  </si>
  <si>
    <t>MUNNS, JAMES</t>
  </si>
  <si>
    <t>P014</t>
  </si>
  <si>
    <t>Cardiothoracic Surgery</t>
  </si>
  <si>
    <t>FLETCHER, ANTHONY</t>
  </si>
  <si>
    <t>SEIB, PAUL</t>
  </si>
  <si>
    <t>TOMPKINS, WILLIAM</t>
  </si>
  <si>
    <t>BORNEMEIER, RENEE</t>
  </si>
  <si>
    <t>GEIGER, JANET</t>
  </si>
  <si>
    <t>SCHMIDT, FRANK</t>
  </si>
  <si>
    <t>KAJITANI, MICHIO</t>
  </si>
  <si>
    <t>BACKS, MEAGAN</t>
  </si>
  <si>
    <t>SMITH, RONALD</t>
  </si>
  <si>
    <t>NACHTIGAL, KENT</t>
  </si>
  <si>
    <t>MOSS, MARIE</t>
  </si>
  <si>
    <t>ECKERT, MICHELLE</t>
  </si>
  <si>
    <t>SWETNAM, JEFFREY</t>
  </si>
  <si>
    <t>GIBSON, VANESSA</t>
  </si>
  <si>
    <t>COOK, JOHN</t>
  </si>
  <si>
    <t>FORESTIERE, LEE</t>
  </si>
  <si>
    <t>HERRERA-VERDUGO, OCTAVIO</t>
  </si>
  <si>
    <t>STICKLEY, SHAUN</t>
  </si>
  <si>
    <t>STEVENSON, DANIEL</t>
  </si>
  <si>
    <t>WRIGHT, MARK</t>
  </si>
  <si>
    <t>BUSBY, JOHN</t>
  </si>
  <si>
    <t>ANGTUACO, SYLVIA</t>
  </si>
  <si>
    <t>VIPPARTHY, SHARATH</t>
  </si>
  <si>
    <t>SHIRES, COURTNEY</t>
  </si>
  <si>
    <t>TAGGARSE, AMIT</t>
  </si>
  <si>
    <t>CHAMARIA, SURBHI</t>
  </si>
  <si>
    <t>BARONE, CLAUDIA</t>
  </si>
  <si>
    <t>STONE, CHRISTOPHER</t>
  </si>
  <si>
    <t>TSHIBAKA, CIMENGA</t>
  </si>
  <si>
    <t>STEIN, ALEXANDER</t>
  </si>
  <si>
    <t>MOURSI, MOHAMMED</t>
  </si>
  <si>
    <t>BAUER, FRANK</t>
  </si>
  <si>
    <t>HEMMATI, POUYA</t>
  </si>
  <si>
    <t>BARONE, GARY</t>
  </si>
  <si>
    <t>LAGA, STEPHEN</t>
  </si>
  <si>
    <t>WRIGHT, BENNIE</t>
  </si>
  <si>
    <t>P015</t>
  </si>
  <si>
    <t>Chiropractor</t>
  </si>
  <si>
    <t>WILSON, JACOB</t>
  </si>
  <si>
    <t>REED, SAMUEL</t>
  </si>
  <si>
    <t>GILILLAND, DEREK</t>
  </si>
  <si>
    <t>RIVERA PAGAN, CARLOS</t>
  </si>
  <si>
    <t>MITCHELL, PAIGE</t>
  </si>
  <si>
    <t>YORK, THOMAS</t>
  </si>
  <si>
    <t>WHEELER, JEROD</t>
  </si>
  <si>
    <t>FRERICHS, HALEY</t>
  </si>
  <si>
    <t>DUFFY, EMILY</t>
  </si>
  <si>
    <t>MANN, ASHLEY</t>
  </si>
  <si>
    <t>WALLIS, TONI</t>
  </si>
  <si>
    <t>HOWELL, KENDREA</t>
  </si>
  <si>
    <t>CRUMPLER, JACOB</t>
  </si>
  <si>
    <t>PETRELLA, JOSEPH</t>
  </si>
  <si>
    <t>MERCIER, DOUGLAS</t>
  </si>
  <si>
    <t>KERSHNER, CHRISTOPHER</t>
  </si>
  <si>
    <t>WATERLOO, KEVIN</t>
  </si>
  <si>
    <t>LAZENBY, MARK</t>
  </si>
  <si>
    <t>SMITH, RILEY</t>
  </si>
  <si>
    <t>REEVES, JOSHUA</t>
  </si>
  <si>
    <t>P016</t>
  </si>
  <si>
    <t>Dental</t>
  </si>
  <si>
    <t>BALTZ, KARLA</t>
  </si>
  <si>
    <t>improperly listed in NPPES Data</t>
  </si>
  <si>
    <t>CHINN, HARRY</t>
  </si>
  <si>
    <t>No longer practicing</t>
  </si>
  <si>
    <t>HOANG, QUOCVIET</t>
  </si>
  <si>
    <t>New Provider</t>
  </si>
  <si>
    <t>MITCHELL, JACOB</t>
  </si>
  <si>
    <t>THANE, JOHN</t>
  </si>
  <si>
    <t>CROW, CALEB</t>
  </si>
  <si>
    <t>JONES, GARY</t>
  </si>
  <si>
    <t>PEARSON, MACKENZIE</t>
  </si>
  <si>
    <t xml:space="preserve">New Provider, </t>
  </si>
  <si>
    <t>BENSON, JOSEPH</t>
  </si>
  <si>
    <t>CROW, ABIGAIL</t>
  </si>
  <si>
    <t>ROGERS, TAYLOR</t>
  </si>
  <si>
    <t>WIGGINS, DAVID</t>
  </si>
  <si>
    <t>DAVIS, JOHN</t>
  </si>
  <si>
    <t>Out of service area</t>
  </si>
  <si>
    <t>KENNY, DUSTIN</t>
  </si>
  <si>
    <t>SMITH, MICHAEL</t>
  </si>
  <si>
    <t>MITCHELL, MASON</t>
  </si>
  <si>
    <t>GARNETT, PEYTON</t>
  </si>
  <si>
    <t>CATRON, CONNOR</t>
  </si>
  <si>
    <t>HALVERSEN, GEOFFREY</t>
  </si>
  <si>
    <t>HUBBARD, RONALD</t>
  </si>
  <si>
    <t>improperly listed in NPPES data</t>
  </si>
  <si>
    <t>CRISWELL, BYRL</t>
  </si>
  <si>
    <t>RANKIN, KAYLA</t>
  </si>
  <si>
    <t>RASH, HAYDEN</t>
  </si>
  <si>
    <t>TANOUE, AMY</t>
  </si>
  <si>
    <t>XIAO, LUKANG</t>
  </si>
  <si>
    <t>PARDO, ALEJANDRO</t>
  </si>
  <si>
    <t>RAKSTANG, JONATHAN</t>
  </si>
  <si>
    <t>WELCH, JOAN</t>
  </si>
  <si>
    <t>AEBERSOLD, ANITA</t>
  </si>
  <si>
    <t>OVERCASH, CARL</t>
  </si>
  <si>
    <t>LLOYD, MICHAEL</t>
  </si>
  <si>
    <t>MCPHERSON, BRYCE</t>
  </si>
  <si>
    <t>JACOBS, AMANDA</t>
  </si>
  <si>
    <t>MARCANTONI, HENRY</t>
  </si>
  <si>
    <t>SIZEMORE, RACHEL</t>
  </si>
  <si>
    <t>ANDREWS, CHLOE</t>
  </si>
  <si>
    <t>WIEDOWER, RICHARD</t>
  </si>
  <si>
    <t>JORDAN, JESSICA</t>
  </si>
  <si>
    <t>SINADA, NAIF</t>
  </si>
  <si>
    <t>CRITTENDEN, ROBERT</t>
  </si>
  <si>
    <t>SHEKARI, FIROOZEH</t>
  </si>
  <si>
    <t>KEENE, ROBERT</t>
  </si>
  <si>
    <t>BAGWELL, JANETTE</t>
  </si>
  <si>
    <t>WARD, RYAN</t>
  </si>
  <si>
    <t>GOODMAN, JOSIANA</t>
  </si>
  <si>
    <t>BOWEN, THOMAS</t>
  </si>
  <si>
    <t>AGRAWAL, PRIYATA</t>
  </si>
  <si>
    <t>LEAL, JOSHUA</t>
  </si>
  <si>
    <t>SPARLING, DEBORAH</t>
  </si>
  <si>
    <t>KAUR, HARPREET</t>
  </si>
  <si>
    <t>NORTCH, ZACHARY</t>
  </si>
  <si>
    <t>CLINTON MUNOZ, MICHELLE</t>
  </si>
  <si>
    <t>CULLENS, ROCKY</t>
  </si>
  <si>
    <t>MCCOY, SKYLER</t>
  </si>
  <si>
    <t>HASLETT, SUZANNE</t>
  </si>
  <si>
    <t>BUFFINGTON, JAMES</t>
  </si>
  <si>
    <t>ROSS, MARIM</t>
  </si>
  <si>
    <t>ROBBINS, THOMAS</t>
  </si>
  <si>
    <t>MATHEWS, PRIYA</t>
  </si>
  <si>
    <t>EKUNDAYO, BISI</t>
  </si>
  <si>
    <t>SANDERS, ALIX</t>
  </si>
  <si>
    <t>ALLEN, CLARKE</t>
  </si>
  <si>
    <t>WILLSON, KYNNEDY</t>
  </si>
  <si>
    <t>BURTON, JAMES</t>
  </si>
  <si>
    <t>JONES, M</t>
  </si>
  <si>
    <t>DALLISON, NOBLE</t>
  </si>
  <si>
    <t>KIMBROUGH, RANDAL</t>
  </si>
  <si>
    <t>BRAILSFORD, ALYSSA</t>
  </si>
  <si>
    <t>ADENIYI, ADETOLA</t>
  </si>
  <si>
    <t>BENTON, BRANDON</t>
  </si>
  <si>
    <t>DOZIER, OLIVER</t>
  </si>
  <si>
    <t>SANTWANI, POOJA</t>
  </si>
  <si>
    <t>FAULKNER, PEYTON</t>
  </si>
  <si>
    <t>NGUYEN, VAN ANH</t>
  </si>
  <si>
    <t>EVANS, PAXTON</t>
  </si>
  <si>
    <t>BOLDING, BEAU</t>
  </si>
  <si>
    <t>KONDOS, THEODORE</t>
  </si>
  <si>
    <t>HAYNIE, BRACY</t>
  </si>
  <si>
    <t>BANNERMAN, STEPHEN</t>
  </si>
  <si>
    <t>THOMPSON, JORDAN</t>
  </si>
  <si>
    <t>HANBY, LUKE</t>
  </si>
  <si>
    <t>FORTENBERRY, ALAN</t>
  </si>
  <si>
    <t>KOONTZ, JUSTIN</t>
  </si>
  <si>
    <t>BLICKENSTAFF, KOHL</t>
  </si>
  <si>
    <t>FRANKLIN, JONATHAN</t>
  </si>
  <si>
    <t>WILLIAMS, JUSTUS</t>
  </si>
  <si>
    <t>GARNER, TAYLOR</t>
  </si>
  <si>
    <t>LEE, JOHN</t>
  </si>
  <si>
    <t>SALAZAR RIOS, ALMA</t>
  </si>
  <si>
    <t>WENDLING, MEREDITH</t>
  </si>
  <si>
    <t>CAMPBELL, JEROLD</t>
  </si>
  <si>
    <t>NEY, MARSHALL</t>
  </si>
  <si>
    <t>YASIN, MAMDOUH</t>
  </si>
  <si>
    <t>HARRIS, SAMUEL</t>
  </si>
  <si>
    <t>SCHULTZ, SHELBY</t>
  </si>
  <si>
    <t>CARROLL, PATRICK</t>
  </si>
  <si>
    <t>BETHEL, JUSTIN</t>
  </si>
  <si>
    <t>ZIMMEREBNER, SCOTT</t>
  </si>
  <si>
    <t>ROYE, JONATHAN</t>
  </si>
  <si>
    <t>PARKEY, MICHAEL</t>
  </si>
  <si>
    <t>HARDGRAVE, NATALIA</t>
  </si>
  <si>
    <t>FELLER, SHARON</t>
  </si>
  <si>
    <t>PIERCE, THOMAS</t>
  </si>
  <si>
    <t>MORRISON, STEVEN</t>
  </si>
  <si>
    <t>HALL, LAUREN</t>
  </si>
  <si>
    <t>TERRY, DOUGLAS</t>
  </si>
  <si>
    <t>KNIGHT, GEORGE</t>
  </si>
  <si>
    <t>LEE, JAMES</t>
  </si>
  <si>
    <t>MACK, JASMINE</t>
  </si>
  <si>
    <t>JOHNSTON, RACHEL</t>
  </si>
  <si>
    <t>BREWER, DAVID</t>
  </si>
  <si>
    <t>SANFORD, SHELLEY</t>
  </si>
  <si>
    <t>PHILLIPS, DAVID</t>
  </si>
  <si>
    <t>TAYLOR, LUKE</t>
  </si>
  <si>
    <t>LOUIS, LAUREN</t>
  </si>
  <si>
    <t>DOVE, JAMES</t>
  </si>
  <si>
    <t>WEBB, ROBERT</t>
  </si>
  <si>
    <t>TURNIER, GARY</t>
  </si>
  <si>
    <t>HOSKINS, MATTHEW</t>
  </si>
  <si>
    <t>P017</t>
  </si>
  <si>
    <t>Dermatology</t>
  </si>
  <si>
    <t>SEVERNS, CYRIL</t>
  </si>
  <si>
    <t>HILTON, MARY</t>
  </si>
  <si>
    <t>WALKER, KRISTY</t>
  </si>
  <si>
    <t>SIMMONS, JENNY</t>
  </si>
  <si>
    <t>GALE, BRENDI</t>
  </si>
  <si>
    <t>MCKINNEY, TERESA</t>
  </si>
  <si>
    <t>SMITH, ARNOLD</t>
  </si>
  <si>
    <t>JOHNSON, JENNIFER</t>
  </si>
  <si>
    <t>BARNARD, JOSEPH</t>
  </si>
  <si>
    <t>GUPTA, PRATEEK</t>
  </si>
  <si>
    <t>CHOATE, RACHEL</t>
  </si>
  <si>
    <t>SOOK, TONYA</t>
  </si>
  <si>
    <t>P018</t>
  </si>
  <si>
    <t>Emergency Medicine</t>
  </si>
  <si>
    <t>YOUNIS, NAVEED</t>
  </si>
  <si>
    <t>MELOY, ANTHONY</t>
  </si>
  <si>
    <t>ZETO, ALAN</t>
  </si>
  <si>
    <t>CONOVER, RANDY</t>
  </si>
  <si>
    <t>MURAD, SIKANDAR</t>
  </si>
  <si>
    <t>FOX, PATRICK</t>
  </si>
  <si>
    <t>WRIGHT, GARY</t>
  </si>
  <si>
    <t>AWAN, MONAM</t>
  </si>
  <si>
    <t>COOPER, SHANNON</t>
  </si>
  <si>
    <t>THORPE, WILLIAM</t>
  </si>
  <si>
    <t>HENDERSON, NATHAN</t>
  </si>
  <si>
    <t>RICHARDSON, JESSICA</t>
  </si>
  <si>
    <t>BEST, AARON</t>
  </si>
  <si>
    <t>HASHMI, SHAKEB</t>
  </si>
  <si>
    <t>DALATI, FAKHRI</t>
  </si>
  <si>
    <t>GRISHAM, DANNETTA</t>
  </si>
  <si>
    <t>MCCRARY, MARK</t>
  </si>
  <si>
    <t>WOOD-KATZ, MELISSA</t>
  </si>
  <si>
    <t>GRAY, GEORGE</t>
  </si>
  <si>
    <t>PRATHER, KENNETH</t>
  </si>
  <si>
    <t>TRAINOR, ARLEIGH</t>
  </si>
  <si>
    <t>LABUDA, SARAH</t>
  </si>
  <si>
    <t>KACHOWSKI, LARISA</t>
  </si>
  <si>
    <t>MEENA, NIKHIL</t>
  </si>
  <si>
    <t>CURFMAN, ALISON</t>
  </si>
  <si>
    <t>SIMPSON, SAM</t>
  </si>
  <si>
    <t>BEARD, CHARLES</t>
  </si>
  <si>
    <t>GREENWOOD, DAVID</t>
  </si>
  <si>
    <t>CANADA, ROBERT</t>
  </si>
  <si>
    <t>LEVY, SONIA</t>
  </si>
  <si>
    <t>BORDELON, JEFFREY</t>
  </si>
  <si>
    <t>GRAY, DALTON</t>
  </si>
  <si>
    <t>SANDNESS, DORCAS</t>
  </si>
  <si>
    <t>DARMSTEADTER, DAVID</t>
  </si>
  <si>
    <t>LONG, ANDREW</t>
  </si>
  <si>
    <t>O'SHEA, JEREMY</t>
  </si>
  <si>
    <t>EDE, CHINEDU</t>
  </si>
  <si>
    <t>LEIBROCK, HAYDEN</t>
  </si>
  <si>
    <t>NASEER, ADNAN</t>
  </si>
  <si>
    <t>WILLIAMS, LAURA</t>
  </si>
  <si>
    <t>ALAM, EJAZ</t>
  </si>
  <si>
    <t>SWEATT, JOHN</t>
  </si>
  <si>
    <t>HUGHES, STEPHEN</t>
  </si>
  <si>
    <t>RHODES, CASSIDY</t>
  </si>
  <si>
    <t>CESARE, CHARLES</t>
  </si>
  <si>
    <t>KLEVENS, MICHAEL</t>
  </si>
  <si>
    <t>GOODMAN, ROBIN</t>
  </si>
  <si>
    <t>MOHIUDDIN, ABID</t>
  </si>
  <si>
    <t>NATHAN, BOOMI</t>
  </si>
  <si>
    <t>LEIBOVICI, SAMUEL</t>
  </si>
  <si>
    <t>DIAZ, KYLE</t>
  </si>
  <si>
    <t>FELZENBERG, EMILY</t>
  </si>
  <si>
    <t>BAGGS, JUSTIN</t>
  </si>
  <si>
    <t>PASSERO, MORGAN</t>
  </si>
  <si>
    <t>WHITE, ANDREW</t>
  </si>
  <si>
    <t>NOTO, ANTHONY</t>
  </si>
  <si>
    <t>CHELLAPPAN, SREE</t>
  </si>
  <si>
    <t>ARNOLD, GRIFFIN</t>
  </si>
  <si>
    <t>LAWRENCE, LARRY</t>
  </si>
  <si>
    <t>HALL, JAMES</t>
  </si>
  <si>
    <t>TWYMAN, CAROL</t>
  </si>
  <si>
    <t>DIAMOND, KEVIN</t>
  </si>
  <si>
    <t>FARRIS, MARYSUE</t>
  </si>
  <si>
    <t>KHAN, SHAMA</t>
  </si>
  <si>
    <t>ALTAF, MOHSIN</t>
  </si>
  <si>
    <t>HENRIKSEN, JOHN</t>
  </si>
  <si>
    <t>JACKSON, MATTHEW</t>
  </si>
  <si>
    <t>CHAFFIN, RAINES</t>
  </si>
  <si>
    <t>ROCHELIN, DAVID</t>
  </si>
  <si>
    <t>STEVENS, JOHNNY</t>
  </si>
  <si>
    <t>LOCOCO, VINCENT</t>
  </si>
  <si>
    <t>WESTBROOK, SEPTEMBER</t>
  </si>
  <si>
    <t>WEISENBERG, BRIAN</t>
  </si>
  <si>
    <t>RICHTER, GRESHAM</t>
  </si>
  <si>
    <t>PATEL, NEAL</t>
  </si>
  <si>
    <t>GREITEN, LAWRENCE</t>
  </si>
  <si>
    <t>CHANG, JONATHAN</t>
  </si>
  <si>
    <t>SMITHERS, DREW</t>
  </si>
  <si>
    <t>WHITE, MELISSA</t>
  </si>
  <si>
    <t>LOCKHART WRIGHT, TRACEY</t>
  </si>
  <si>
    <t>SELBY, SAMUEL</t>
  </si>
  <si>
    <t>PUMPHREY, CARLA</t>
  </si>
  <si>
    <t>FRANKLIN, SARAH</t>
  </si>
  <si>
    <t>GARCIA, SHAUN</t>
  </si>
  <si>
    <t>LAWSON, NICOLE</t>
  </si>
  <si>
    <t>DORROH, SCOTT</t>
  </si>
  <si>
    <t>KORNEGAY, SHELLIA</t>
  </si>
  <si>
    <t>MICHAEL, MINA</t>
  </si>
  <si>
    <t>SCHISSEL, BETH</t>
  </si>
  <si>
    <t>IRELAND, ASHLEY</t>
  </si>
  <si>
    <t xml:space="preserve">Active network practitioner, </t>
  </si>
  <si>
    <t>OUMEDDOUR, RAZIK</t>
  </si>
  <si>
    <t>MCMELLON, AMANDA</t>
  </si>
  <si>
    <t>LAMB, TRENT</t>
  </si>
  <si>
    <t>REDDY, VIJAYABHASKER</t>
  </si>
  <si>
    <t>CRABTREE, MICHAEL</t>
  </si>
  <si>
    <t>NIX, KASEY</t>
  </si>
  <si>
    <t>STILLS, DAVID</t>
  </si>
  <si>
    <t>KULPEKSA, JOSEPH</t>
  </si>
  <si>
    <t>RUST, STEFANIE</t>
  </si>
  <si>
    <t>SPARLING, MADELINE</t>
  </si>
  <si>
    <t>RAYBORN, CARI</t>
  </si>
  <si>
    <t>BATTEN, COLTON</t>
  </si>
  <si>
    <t>GARNER, BRADFORD</t>
  </si>
  <si>
    <t>COTNER, JAMES</t>
  </si>
  <si>
    <t>STUDDARD, JAMES</t>
  </si>
  <si>
    <t>WARNER, MILO</t>
  </si>
  <si>
    <t>CARLISLE, JOHN</t>
  </si>
  <si>
    <t>MAREADY, MATTHEW</t>
  </si>
  <si>
    <t>KHALIL, MUHAMMAD</t>
  </si>
  <si>
    <t>JOHNSON, JOHN</t>
  </si>
  <si>
    <t>ZEPEDA, JACK</t>
  </si>
  <si>
    <t>PATEL, ANJALI</t>
  </si>
  <si>
    <t>SCOTT, JEFFREY</t>
  </si>
  <si>
    <t>BUCKLEY, DOUGLAS</t>
  </si>
  <si>
    <t>ANGLE, DONALD</t>
  </si>
  <si>
    <t>MARTIN, ANDREW</t>
  </si>
  <si>
    <t>CARLYLE, BENJAMIN</t>
  </si>
  <si>
    <t>DONDETI, RAJA SEKHAR REDDY</t>
  </si>
  <si>
    <t>PACE, PHILLIP</t>
  </si>
  <si>
    <t>JOLLY, SAMANTHA</t>
  </si>
  <si>
    <t>RASHEED, ANUM</t>
  </si>
  <si>
    <t>EPPERSON, JOEL</t>
  </si>
  <si>
    <t>BYRUM, JERRY</t>
  </si>
  <si>
    <t>FORREST, STEVEN</t>
  </si>
  <si>
    <t>HUETER, RYAN</t>
  </si>
  <si>
    <t>PATEL, PRIYAL</t>
  </si>
  <si>
    <t>HENSON, BRANDI</t>
  </si>
  <si>
    <t>BURKE, DANIEL</t>
  </si>
  <si>
    <t>GRUBBS, DANNY</t>
  </si>
  <si>
    <t>DIXON, DRUERY</t>
  </si>
  <si>
    <t>IRVING, RHONDA</t>
  </si>
  <si>
    <t>COHN, ARTHUR</t>
  </si>
  <si>
    <t>VOGLER, CAROLYN</t>
  </si>
  <si>
    <t>MINOR, SARAH</t>
  </si>
  <si>
    <t>PRITCHARD, SHARON</t>
  </si>
  <si>
    <t>SANDERS, LAURA</t>
  </si>
  <si>
    <t>BIRD, MIRFAT</t>
  </si>
  <si>
    <t>DOWELL, SHARON</t>
  </si>
  <si>
    <t>HASAN, RIMSHA</t>
  </si>
  <si>
    <t>HICKS, STEPHEN</t>
  </si>
  <si>
    <t>FIKE, ELIZABETH</t>
  </si>
  <si>
    <t>KESSIE, MELISSA</t>
  </si>
  <si>
    <t>COSTELLO, TIMOTHY</t>
  </si>
  <si>
    <t>REESE, JERRAD</t>
  </si>
  <si>
    <t>RICHARDSON, RACHEL</t>
  </si>
  <si>
    <t>IRWIN, ROBERT</t>
  </si>
  <si>
    <t>CHAMBERS, FRANKLIN</t>
  </si>
  <si>
    <t>BURR, NATALIE</t>
  </si>
  <si>
    <t>JOKERST, THOMAS</t>
  </si>
  <si>
    <t>STOCK, VANCE</t>
  </si>
  <si>
    <t>MORGAN, CHRISTOPHER</t>
  </si>
  <si>
    <t>BUTLER, CONNIE</t>
  </si>
  <si>
    <t>ASHBROOKS, DARRIN</t>
  </si>
  <si>
    <t>HAYNES, JACKSON</t>
  </si>
  <si>
    <t>BRASHEARS, CLAY</t>
  </si>
  <si>
    <t>SINDLINGER, TIMOTHY</t>
  </si>
  <si>
    <t>GARRETT, DAVID</t>
  </si>
  <si>
    <t>DASS, SANJAY</t>
  </si>
  <si>
    <t>LYON, JACK</t>
  </si>
  <si>
    <t>WEAVER, MICHELLE</t>
  </si>
  <si>
    <t>FISHER, CHARALENE</t>
  </si>
  <si>
    <t>REYES, JOSE</t>
  </si>
  <si>
    <t>COATS, CANDI</t>
  </si>
  <si>
    <t>GAMBLE, ELIZABETH</t>
  </si>
  <si>
    <t>HUGHES, NECOLE</t>
  </si>
  <si>
    <t>KUMAR, SUDHIR</t>
  </si>
  <si>
    <t>DELOS SANTOS, NOEL</t>
  </si>
  <si>
    <t>BELL, DAN</t>
  </si>
  <si>
    <t>REBEIRO, EGBERT</t>
  </si>
  <si>
    <t>TREICHLER, DON</t>
  </si>
  <si>
    <t>CODY, STEPHANIE</t>
  </si>
  <si>
    <t>REED, MELINDA</t>
  </si>
  <si>
    <t>GONSALVES, PIERRE</t>
  </si>
  <si>
    <t>CHEN, YIDONG</t>
  </si>
  <si>
    <t>HEARN, JONATHAN</t>
  </si>
  <si>
    <t>AHMED, SAHIBZADA</t>
  </si>
  <si>
    <t>EASTEP, KEVIN</t>
  </si>
  <si>
    <t>FARRELL, JOSEPH</t>
  </si>
  <si>
    <t>MOTE, ANGELA</t>
  </si>
  <si>
    <t>BEARRY, JOHN</t>
  </si>
  <si>
    <t>KURA, RAGHUVEER</t>
  </si>
  <si>
    <t>HALL, ROBERT</t>
  </si>
  <si>
    <t>VU, PHU</t>
  </si>
  <si>
    <t>HERRING, JOHN</t>
  </si>
  <si>
    <t>BOYD, RODERICK</t>
  </si>
  <si>
    <t>KHAN, RIZWANA</t>
  </si>
  <si>
    <t>DYE, JAMES</t>
  </si>
  <si>
    <t>NARCISO, PHILIPP</t>
  </si>
  <si>
    <t>SADLER, JENNIFER</t>
  </si>
  <si>
    <t>BURLESON, STANLEY</t>
  </si>
  <si>
    <t>MURDOCK, JAMES</t>
  </si>
  <si>
    <t>WEST, MARK</t>
  </si>
  <si>
    <t>SHAH, SHAHID</t>
  </si>
  <si>
    <t>GRIESEMER, MARK</t>
  </si>
  <si>
    <t>GLASGOW, PHILLIP</t>
  </si>
  <si>
    <t>BOYD, DUSTY</t>
  </si>
  <si>
    <t>SANDERS, SCOTT</t>
  </si>
  <si>
    <t>DRISKILL, ANGELA</t>
  </si>
  <si>
    <t>BEARD, NAHUM</t>
  </si>
  <si>
    <t>HENDERSON, DAVID</t>
  </si>
  <si>
    <t>SPENCER, JASON</t>
  </si>
  <si>
    <t>ALSAEK, YASER</t>
  </si>
  <si>
    <t>WALKER, RIKKI</t>
  </si>
  <si>
    <t>ALBEE, BHAVIKA</t>
  </si>
  <si>
    <t>KENT, WILLIAM</t>
  </si>
  <si>
    <t>MARTIN, ROBERT</t>
  </si>
  <si>
    <t>KAYOMA, JOHN</t>
  </si>
  <si>
    <t>KELESHIAN, HAGOP</t>
  </si>
  <si>
    <t>MANYAM, SWAPNA</t>
  </si>
  <si>
    <t>MACK, JEFFERY</t>
  </si>
  <si>
    <t>MCCUTCHEON, JOSEPH</t>
  </si>
  <si>
    <t>MAULDIN, RACHEL</t>
  </si>
  <si>
    <t>HUBBARD, WILLIAM</t>
  </si>
  <si>
    <t>BRIMBERRY, RONALD</t>
  </si>
  <si>
    <t>TYSON, JEREMIAH</t>
  </si>
  <si>
    <t>TURBEVILLE, RICHARD</t>
  </si>
  <si>
    <t>BARR, MEREDITH</t>
  </si>
  <si>
    <t>SMITH, CLINTON</t>
  </si>
  <si>
    <t>OLADIPO, SIFAU</t>
  </si>
  <si>
    <t>GREGORY, JO ANNE</t>
  </si>
  <si>
    <t>HORSTMAN, CURTIS</t>
  </si>
  <si>
    <t>RAFATNIA, ALI</t>
  </si>
  <si>
    <t>ALDANA, TIRSO</t>
  </si>
  <si>
    <t>LAGALY, WILLIAM</t>
  </si>
  <si>
    <t>HOLLAND, SCOTT</t>
  </si>
  <si>
    <t>ANDERSON, SCOTT</t>
  </si>
  <si>
    <t>FOSCUE, DAVID</t>
  </si>
  <si>
    <t>OGLESBY, JAMES</t>
  </si>
  <si>
    <t>TRACY, WALLACE</t>
  </si>
  <si>
    <t>MIERS, JANE</t>
  </si>
  <si>
    <t>JOHNSON, ARLENE</t>
  </si>
  <si>
    <t>RICE, JAMES</t>
  </si>
  <si>
    <t>COOPER, JOHN</t>
  </si>
  <si>
    <t>PARSLEY, CAMERON</t>
  </si>
  <si>
    <t>CHEMTOB, JOSEF</t>
  </si>
  <si>
    <t>VANDOVER, JOHN</t>
  </si>
  <si>
    <t>BLANKERS, CHRISTIAN</t>
  </si>
  <si>
    <t>AHMED, RAMI</t>
  </si>
  <si>
    <t>EASTERDAY, THOMAS</t>
  </si>
  <si>
    <t>WALTER, MATTHEW</t>
  </si>
  <si>
    <t>SHAH, SIDDHARTH</t>
  </si>
  <si>
    <t>EXUM, RONALD</t>
  </si>
  <si>
    <t>HUFFMAN, THOMAS</t>
  </si>
  <si>
    <t>HERNANDEZ, JULIAN</t>
  </si>
  <si>
    <t>ABSI, MOHAMMED</t>
  </si>
  <si>
    <t>BOOKER, SHANNON</t>
  </si>
  <si>
    <t>EVANS, SAMUEL</t>
  </si>
  <si>
    <t>HARGIS, ALEXANDER</t>
  </si>
  <si>
    <t>MACDONALD, EMMANUEL</t>
  </si>
  <si>
    <t>TAYLOR, ARTHUR</t>
  </si>
  <si>
    <t>SHETH, DIPAK</t>
  </si>
  <si>
    <t>NADEEM, SHAHID</t>
  </si>
  <si>
    <t>HOUSE, JOHN</t>
  </si>
  <si>
    <t>JAIN, SHOBHIT</t>
  </si>
  <si>
    <t>FREDRICKSON, ERIC</t>
  </si>
  <si>
    <t>BARROW, ANGELA</t>
  </si>
  <si>
    <t>CORLEY, ROBERT</t>
  </si>
  <si>
    <t>BROWN, CARRIE</t>
  </si>
  <si>
    <t>SHOTTS, CULBER</t>
  </si>
  <si>
    <t>RICHEY, JASON</t>
  </si>
  <si>
    <t>BARNETT, KEVIN</t>
  </si>
  <si>
    <t>DENTON, ROY</t>
  </si>
  <si>
    <t>SHAFER- FRANKS, CANDACE</t>
  </si>
  <si>
    <t>REED, JONATHAN</t>
  </si>
  <si>
    <t>WHITE, MICHAEL</t>
  </si>
  <si>
    <t>MOHIUDDIN, MOHAMMED</t>
  </si>
  <si>
    <t>SAUL, JEREMY</t>
  </si>
  <si>
    <t>ARROYO, MAXIMILIANO</t>
  </si>
  <si>
    <t>HANSON, ALLYSON</t>
  </si>
  <si>
    <t>KING, JUSTIN</t>
  </si>
  <si>
    <t>BRADEN, LAWRENCE</t>
  </si>
  <si>
    <t>RUBIO, RONALD ANGELO</t>
  </si>
  <si>
    <t>KUO PECK, KAREN</t>
  </si>
  <si>
    <t>GRAHAM, CHARLES</t>
  </si>
  <si>
    <t>BENNETT, DANIEL</t>
  </si>
  <si>
    <t>JAMISON, NERIE</t>
  </si>
  <si>
    <t>OBI, EMMANUEL</t>
  </si>
  <si>
    <t>ANDELIN, PAUL</t>
  </si>
  <si>
    <t>WEISS, DAWN</t>
  </si>
  <si>
    <t>SALMON, OLAYIWOLA</t>
  </si>
  <si>
    <t>NATAKAL PAKEERAPPA, PRAVEEN</t>
  </si>
  <si>
    <t>MELLOY, BRIAN</t>
  </si>
  <si>
    <t>PIRTLE, STEPHEN</t>
  </si>
  <si>
    <t>ZIMMERMAN, STACY</t>
  </si>
  <si>
    <t>MITCHELL, BRUCE</t>
  </si>
  <si>
    <t>HENSON, GREGORY</t>
  </si>
  <si>
    <t>LIU, DANIEL</t>
  </si>
  <si>
    <t>ARSHAD, ABDULLAH</t>
  </si>
  <si>
    <t>BARNES, STEPHANIE</t>
  </si>
  <si>
    <t>SEXSON, JOHN</t>
  </si>
  <si>
    <t>ANDERSON, JARED</t>
  </si>
  <si>
    <t>ITALIA, HIRENKUMAR</t>
  </si>
  <si>
    <t>REED, JEREMY</t>
  </si>
  <si>
    <t>DUBBAKA, THIRUMAL</t>
  </si>
  <si>
    <t>KOPPARAPU, ANIL</t>
  </si>
  <si>
    <t>SILVERI, PAUL</t>
  </si>
  <si>
    <t>POUNDERS, JOHN</t>
  </si>
  <si>
    <t>RUSSWORM, KEITH</t>
  </si>
  <si>
    <t>POWERS, JOSEPH</t>
  </si>
  <si>
    <t>BOGLE, SHAWN</t>
  </si>
  <si>
    <t>LEE, KENT</t>
  </si>
  <si>
    <t>HENDRIX, LISA</t>
  </si>
  <si>
    <t>HANDLOSER, HOLLY</t>
  </si>
  <si>
    <t>PROBST, NATHAN</t>
  </si>
  <si>
    <t>EVANS, JAMIE</t>
  </si>
  <si>
    <t>MEREDITH, PAUL</t>
  </si>
  <si>
    <t>PAFFORD, MICHAEL</t>
  </si>
  <si>
    <t>JOHNSON, CHRISTOPHER</t>
  </si>
  <si>
    <t>PARROTT, ROBERT</t>
  </si>
  <si>
    <t>MARTIN, DAN</t>
  </si>
  <si>
    <t>SIMPSON, CHADWICK</t>
  </si>
  <si>
    <t>MOORE, DAVID</t>
  </si>
  <si>
    <t>SHENEP, LORI</t>
  </si>
  <si>
    <t>COOPER, JAMES</t>
  </si>
  <si>
    <t>AYERS, PATRICK</t>
  </si>
  <si>
    <t>FLEMING, ROBERT</t>
  </si>
  <si>
    <t>MAHAN, MEREDITH</t>
  </si>
  <si>
    <t>SESSLER, LONNIE</t>
  </si>
  <si>
    <t>MORRIS, BISHAWN</t>
  </si>
  <si>
    <t>GOMEZ, HENRY</t>
  </si>
  <si>
    <t>NIBA, SUH</t>
  </si>
  <si>
    <t>KOYAGURA, SUDHEER</t>
  </si>
  <si>
    <t>JENKINS, PARKER</t>
  </si>
  <si>
    <t>ROWELL, STEWART</t>
  </si>
  <si>
    <t>SAYANI, SANIA</t>
  </si>
  <si>
    <t>VOGEL, ERIC</t>
  </si>
  <si>
    <t>HARRIS, BROCK</t>
  </si>
  <si>
    <t>FISCHER, MICHAEL</t>
  </si>
  <si>
    <t>ROSS, DANIEL</t>
  </si>
  <si>
    <t>KRISH, MADHULIKA</t>
  </si>
  <si>
    <t>AL-GHUSSAIN, EMAD</t>
  </si>
  <si>
    <t>UMBREIT, ERIC</t>
  </si>
  <si>
    <t>IRBY, OLIVIA</t>
  </si>
  <si>
    <t>FELICITAS, RICHELLE</t>
  </si>
  <si>
    <t>BROOKMAN, MAX</t>
  </si>
  <si>
    <t>HARHARA, HALEEMA</t>
  </si>
  <si>
    <t>BLACKBURN, BRENT</t>
  </si>
  <si>
    <t>POWELL, JARRETT</t>
  </si>
  <si>
    <t>BROWN, COLUMBUS</t>
  </si>
  <si>
    <t>REYNOLDS, TIMOTHY</t>
  </si>
  <si>
    <t>BOWMAN, GARY</t>
  </si>
  <si>
    <t>PHIPPS, RONNY</t>
  </si>
  <si>
    <t>LEWIS, HERBERT</t>
  </si>
  <si>
    <t>ONYENEKWE, JOSIAH</t>
  </si>
  <si>
    <t>FOSTER, STEPHEN</t>
  </si>
  <si>
    <t>TANNER, RONALD</t>
  </si>
  <si>
    <t>HUDDLESTON, ASHLEY</t>
  </si>
  <si>
    <t>KOLLER, DARWIN</t>
  </si>
  <si>
    <t>FENDLEY, HERBERT</t>
  </si>
  <si>
    <t>ADELEKE, ADEGOKE</t>
  </si>
  <si>
    <t>BRIDGES, HEATHER</t>
  </si>
  <si>
    <t>BLOCH, LAUREN</t>
  </si>
  <si>
    <t>BROWNE, GRACE</t>
  </si>
  <si>
    <t>BROADBENT, REBECCA</t>
  </si>
  <si>
    <t>LISDELL, LESLIE</t>
  </si>
  <si>
    <t>ROSS, DOUGLAS</t>
  </si>
  <si>
    <t>STUBBS, JASON</t>
  </si>
  <si>
    <t>BALTZ, NANCY</t>
  </si>
  <si>
    <t>KHAN, ABRAR</t>
  </si>
  <si>
    <t>RATHEL, MEGAN</t>
  </si>
  <si>
    <t>THOMPSON, JON</t>
  </si>
  <si>
    <t>LYNCH, WHITNEY</t>
  </si>
  <si>
    <t>NADEN, GREGORY</t>
  </si>
  <si>
    <t>ANDERSON, TOBY</t>
  </si>
  <si>
    <t>LYNN, WILLIAM</t>
  </si>
  <si>
    <t>PEEBLES, SAMUEL</t>
  </si>
  <si>
    <t>EUBANKS, CHENIA</t>
  </si>
  <si>
    <t>O'NEILL, JOSHUA</t>
  </si>
  <si>
    <t>RODGERS, CHADWICK</t>
  </si>
  <si>
    <t>SMITH, CODY</t>
  </si>
  <si>
    <t>CAZANO, JUAN</t>
  </si>
  <si>
    <t>BUMPAS, TIMOTHY</t>
  </si>
  <si>
    <t>SIMPSON, ALAINNA</t>
  </si>
  <si>
    <t>MOTES, JOSHUA</t>
  </si>
  <si>
    <t>SMITH, STACIE</t>
  </si>
  <si>
    <t>WILSON, LINDSEY</t>
  </si>
  <si>
    <t>QUANG, LAWRENCE</t>
  </si>
  <si>
    <t>MCLELLAN, MATTHEW</t>
  </si>
  <si>
    <t>DELAUNE, EUGENE</t>
  </si>
  <si>
    <t>LEAVITT, BENJAMIN</t>
  </si>
  <si>
    <t>THAKOR, PRATAPJI</t>
  </si>
  <si>
    <t>CALDWELL, CHARLES</t>
  </si>
  <si>
    <t>SIFUENTES, JOSHUA</t>
  </si>
  <si>
    <t>JUNAID, MUHAMMAD</t>
  </si>
  <si>
    <t>CISNEROS, JAMIE</t>
  </si>
  <si>
    <t>DOWNS, MICHAEL</t>
  </si>
  <si>
    <t>HAINES, CARVER</t>
  </si>
  <si>
    <t>KAREEM, OLUFADEJIMI</t>
  </si>
  <si>
    <t>GRAHAM, GABRIEL</t>
  </si>
  <si>
    <t>GARCIA, JOHN</t>
  </si>
  <si>
    <t>ELLIS, MARGARET</t>
  </si>
  <si>
    <t>GATTER, MARIPAT</t>
  </si>
  <si>
    <t>WITTKE, ROBYN</t>
  </si>
  <si>
    <t>SHIPP, SABRINA</t>
  </si>
  <si>
    <t>FISHER, EMILY</t>
  </si>
  <si>
    <t>HURTADO, CESAR</t>
  </si>
  <si>
    <t>NWAIWU, OBIOMA</t>
  </si>
  <si>
    <t>RIVERA CRUZ, RAQUEL</t>
  </si>
  <si>
    <t>RODRIGUEZ, NATALIE</t>
  </si>
  <si>
    <t>PASHKEVICH, MICHELE</t>
  </si>
  <si>
    <t>ALGEE, WYATT</t>
  </si>
  <si>
    <t>HOLT, BILLY</t>
  </si>
  <si>
    <t>KITTELL, MICHAEL</t>
  </si>
  <si>
    <t>BENNETT, WILLIAM</t>
  </si>
  <si>
    <t>TURNER, CLINTON</t>
  </si>
  <si>
    <t>NIELSON, NATHAN</t>
  </si>
  <si>
    <t>WATSON, LASHUNDRA</t>
  </si>
  <si>
    <t>STEPPS, KRISTOPHER</t>
  </si>
  <si>
    <t>ALBERTSON, MONROE</t>
  </si>
  <si>
    <t>CAVERO, FERNANDO</t>
  </si>
  <si>
    <t>COX, ADAM</t>
  </si>
  <si>
    <t>LEE, MARK</t>
  </si>
  <si>
    <t>LU, EUGENE</t>
  </si>
  <si>
    <t>PHILLIPS, TRACY</t>
  </si>
  <si>
    <t>DIFFINE, DAVID</t>
  </si>
  <si>
    <t>MCKINNEY, JASON</t>
  </si>
  <si>
    <t>HASELOW, DIRK</t>
  </si>
  <si>
    <t>KINDRAT, JASON</t>
  </si>
  <si>
    <t>BORDADOR, APOLINAR</t>
  </si>
  <si>
    <t>INGRAM, JORDAN</t>
  </si>
  <si>
    <t>USUWA, CHIZOBA</t>
  </si>
  <si>
    <t>MULLINIX, DEREK</t>
  </si>
  <si>
    <t>AKHIGBE, CHURCHILL</t>
  </si>
  <si>
    <t>CUNDIFF, CHRISTOPHER</t>
  </si>
  <si>
    <t>MALONE, BRETT</t>
  </si>
  <si>
    <t>BLAKE, KIMBERLY</t>
  </si>
  <si>
    <t>REEVES, JAMES</t>
  </si>
  <si>
    <t>BAU, TERESA</t>
  </si>
  <si>
    <t>SIEBENMORGEN, LACHAN</t>
  </si>
  <si>
    <t>ERWIN, STEVEN</t>
  </si>
  <si>
    <t>MIRANDA, MICHAEL</t>
  </si>
  <si>
    <t>MILLER, CHRISTOPHER</t>
  </si>
  <si>
    <t>ARNOLD, JAMES</t>
  </si>
  <si>
    <t>DOD, HARVINDER</t>
  </si>
  <si>
    <t>SPENCER, JEFFREY</t>
  </si>
  <si>
    <t>ORJI, CHRISTIAN</t>
  </si>
  <si>
    <t>MCDANIEL, CHRISTOPHER</t>
  </si>
  <si>
    <t>SRA, SURINDER</t>
  </si>
  <si>
    <t>NIXON, DAVID</t>
  </si>
  <si>
    <t>VIRMANI, MISTY</t>
  </si>
  <si>
    <t>KANNEGANTI, PRAVEEN</t>
  </si>
  <si>
    <t>GUINN, NICHOLAS</t>
  </si>
  <si>
    <t>NWUDE, EZINNE</t>
  </si>
  <si>
    <t>WAACK, BARRY</t>
  </si>
  <si>
    <t>HENRY, WILLIAM</t>
  </si>
  <si>
    <t>O'BRIEN, KELSEY</t>
  </si>
  <si>
    <t>COWARD, KEITH</t>
  </si>
  <si>
    <t>CASEY-BOLDEN, MONIQUE</t>
  </si>
  <si>
    <t>WILEY, JAMES</t>
  </si>
  <si>
    <t>BLAKE, DENNIS</t>
  </si>
  <si>
    <t>OGWO, CHERECHI</t>
  </si>
  <si>
    <t>PHILLIPS, CHRISTOPHER</t>
  </si>
  <si>
    <t>JALOU, JOUMA</t>
  </si>
  <si>
    <t>WOZNIAK, ADAM</t>
  </si>
  <si>
    <t>ROSE, JOSEPH</t>
  </si>
  <si>
    <t>BRIGANCE, HOLLY</t>
  </si>
  <si>
    <t>BARNETT, RONALD</t>
  </si>
  <si>
    <t>AKIN, CLINTON</t>
  </si>
  <si>
    <t>WILLIS, SHERITA</t>
  </si>
  <si>
    <t>FREEMAN, DARREN</t>
  </si>
  <si>
    <t>BOWLING, REBEKAH</t>
  </si>
  <si>
    <t>RENFROE, JAMES</t>
  </si>
  <si>
    <t>DEDMAN, WILLIAM</t>
  </si>
  <si>
    <t>CARTTAR, CHARLES</t>
  </si>
  <si>
    <t>WHICKER, KIMBERLY</t>
  </si>
  <si>
    <t>BENNETT, JAMES</t>
  </si>
  <si>
    <t>HUFFMAN, JAMES</t>
  </si>
  <si>
    <t>DIRE, DANIEL</t>
  </si>
  <si>
    <t>TIPPIN, PHILIP</t>
  </si>
  <si>
    <t>WEBBER, DAVID</t>
  </si>
  <si>
    <t>SCALLY, NICOLE</t>
  </si>
  <si>
    <t>RUIZ GONZALEZ, HELBERT</t>
  </si>
  <si>
    <t>NWODO, CHUKWUDI</t>
  </si>
  <si>
    <t>ADAMU, NANA-AISHATU</t>
  </si>
  <si>
    <t>MALIK, MOHAMMED</t>
  </si>
  <si>
    <t>JACKSON, AMBER</t>
  </si>
  <si>
    <t>FLIPPIN, DANE</t>
  </si>
  <si>
    <t>SCHMIDLY, HAN</t>
  </si>
  <si>
    <t>BECKETT, ADAM</t>
  </si>
  <si>
    <t>THACKER, AMBER</t>
  </si>
  <si>
    <t>PATEL, RUCHI</t>
  </si>
  <si>
    <t>DERSCH, JUSTIN</t>
  </si>
  <si>
    <t>EL-AAWAR, AMR</t>
  </si>
  <si>
    <t>JOHNSON, BRAD</t>
  </si>
  <si>
    <t>SHIPP, TIMOTHY</t>
  </si>
  <si>
    <t>PERRY, EDWARD</t>
  </si>
  <si>
    <t>YUSUF, MUHAMMAD</t>
  </si>
  <si>
    <t>PHILLIPS, REBECCA</t>
  </si>
  <si>
    <t>YOUNG, EVELYN</t>
  </si>
  <si>
    <t>FLOYD, COURTNEY</t>
  </si>
  <si>
    <t>PORTE, REX</t>
  </si>
  <si>
    <t>HUTSON, ELIZABETH</t>
  </si>
  <si>
    <t>THALATHOTI, SAMUEL</t>
  </si>
  <si>
    <t>FERGUS, RAYMOND</t>
  </si>
  <si>
    <t>BURNS, TERRY</t>
  </si>
  <si>
    <t>HAHN, EMILY</t>
  </si>
  <si>
    <t>DAWKINS, JHEANELLE</t>
  </si>
  <si>
    <t>RIELS, GLYNN</t>
  </si>
  <si>
    <t>ERICSON, MARY</t>
  </si>
  <si>
    <t>WHITE, MOLLY</t>
  </si>
  <si>
    <t>PFEIFFER, PAUL</t>
  </si>
  <si>
    <t>SCROGGIN, CARROLL</t>
  </si>
  <si>
    <t>SANFORD, MARTHA</t>
  </si>
  <si>
    <t>TAYLOR, RICHARD</t>
  </si>
  <si>
    <t>ESPINEL, ALFONSO</t>
  </si>
  <si>
    <t>CAMPBELL, SCOTT</t>
  </si>
  <si>
    <t>HAMBY, JEFFREY</t>
  </si>
  <si>
    <t>OSAROGIAGBON, RAYMOND</t>
  </si>
  <si>
    <t>TARR, RUSSELL</t>
  </si>
  <si>
    <t>MCCALL, ADAM</t>
  </si>
  <si>
    <t>HIRE, JUSTIN</t>
  </si>
  <si>
    <t>BERRY, WILLIAM</t>
  </si>
  <si>
    <t>WULZ, CURTIS</t>
  </si>
  <si>
    <t>BALLOUK, WESAM</t>
  </si>
  <si>
    <t>MILLER, JAMES</t>
  </si>
  <si>
    <t>MORGAN, JACK</t>
  </si>
  <si>
    <t>BAILEY, THOMAS</t>
  </si>
  <si>
    <t>WALLEY, LINDSEY</t>
  </si>
  <si>
    <t>HEARNE, ARCHIE</t>
  </si>
  <si>
    <t>MORRISON, KENDRA</t>
  </si>
  <si>
    <t>LYERLY, MICHAEL</t>
  </si>
  <si>
    <t>NDULUE, JIDEOFOR</t>
  </si>
  <si>
    <t>AZIZ, MICHAEL</t>
  </si>
  <si>
    <t>EDWARDS, FRANK</t>
  </si>
  <si>
    <t>MCCLINTOCK, SARAH</t>
  </si>
  <si>
    <t>BONE, SARAH</t>
  </si>
  <si>
    <t>BONPIETRO, FRANK</t>
  </si>
  <si>
    <t>BROWN, SCOTT</t>
  </si>
  <si>
    <t>ROBERTSON, JONATHAN</t>
  </si>
  <si>
    <t>THOMPSON, JOHN</t>
  </si>
  <si>
    <t>PATEL, CHANDRAKANT</t>
  </si>
  <si>
    <t>POMTREE, MINDY</t>
  </si>
  <si>
    <t>ZABRISKIE, AARON</t>
  </si>
  <si>
    <t>SIDAROUS, PETER</t>
  </si>
  <si>
    <t>JAMES, BRETT</t>
  </si>
  <si>
    <t>FARST, KAREN</t>
  </si>
  <si>
    <t>LUNEAU, TABATHA</t>
  </si>
  <si>
    <t>FU, QIUYU</t>
  </si>
  <si>
    <t>MCDONALD, MORGAN</t>
  </si>
  <si>
    <t>AHZAM, MUHAMMAD</t>
  </si>
  <si>
    <t>KAUFFMAN, PAUL</t>
  </si>
  <si>
    <t>JEAN, GRETA</t>
  </si>
  <si>
    <t>MCCARTNEY, JEFFREY</t>
  </si>
  <si>
    <t>ASHLEY, ALISHA</t>
  </si>
  <si>
    <t>PRESTON, CLAYTON</t>
  </si>
  <si>
    <t>HUTCHISON, GEORGE</t>
  </si>
  <si>
    <t>WYATT, RICHARD</t>
  </si>
  <si>
    <t>LEVIN, FREDERICK</t>
  </si>
  <si>
    <t>COVERT, GEORGE</t>
  </si>
  <si>
    <t>SUMMERHILL, JEFFREY</t>
  </si>
  <si>
    <t>TRAUTH, KYLE</t>
  </si>
  <si>
    <t>PLUMLEE, AUSTIN</t>
  </si>
  <si>
    <t>BURNS, GLORIA</t>
  </si>
  <si>
    <t>KHAN, IQTIDAR</t>
  </si>
  <si>
    <t>RUSSELL, JAMES</t>
  </si>
  <si>
    <t>EVANS, JAMES</t>
  </si>
  <si>
    <t>OBIOZO, ALBERT</t>
  </si>
  <si>
    <t>SPENCE, LEISA</t>
  </si>
  <si>
    <t>SADLER, COREY</t>
  </si>
  <si>
    <t>KROSCHK, MARCEL</t>
  </si>
  <si>
    <t>PECK, COLE</t>
  </si>
  <si>
    <t>BEIS, RUSSELL</t>
  </si>
  <si>
    <t>THOMAS, DEEPAK</t>
  </si>
  <si>
    <t>BINNS, TASHA</t>
  </si>
  <si>
    <t>CREECH, HILLARY</t>
  </si>
  <si>
    <t>SHAKIR, MUHAMMAD</t>
  </si>
  <si>
    <t>NTENDE, HENRY</t>
  </si>
  <si>
    <t>RUSSELL, JOHN</t>
  </si>
  <si>
    <t>JOURNAGAN, KEVIN</t>
  </si>
  <si>
    <t>AL-HALLAK, AMMAR</t>
  </si>
  <si>
    <t>DONCER, RICHARD</t>
  </si>
  <si>
    <t>FRIESEN, DOUGLAS</t>
  </si>
  <si>
    <t>OECHSLE, FABIAN</t>
  </si>
  <si>
    <t>LUNGBA, RAYAN</t>
  </si>
  <si>
    <t>RUFF, LLOYD</t>
  </si>
  <si>
    <t>LAREY, MARK</t>
  </si>
  <si>
    <t>SHARFMAN, DAVID</t>
  </si>
  <si>
    <t>SHAH, WASEEM</t>
  </si>
  <si>
    <t>FRIZZELL, TAMMIE</t>
  </si>
  <si>
    <t>SUAREZ, VIVIANA</t>
  </si>
  <si>
    <t>WARD, SAMUEL</t>
  </si>
  <si>
    <t>NORSE, ASHLEY</t>
  </si>
  <si>
    <t>MACK, TRACY</t>
  </si>
  <si>
    <t>STRONG, AARON</t>
  </si>
  <si>
    <t>WARD, JOSHUA</t>
  </si>
  <si>
    <t>CARRINGTON, HUNTER</t>
  </si>
  <si>
    <t>BIGGERS, BRADLEY</t>
  </si>
  <si>
    <t>O'CONNELL, JOSEPH</t>
  </si>
  <si>
    <t>LAWSON, JONATHAN</t>
  </si>
  <si>
    <t>P019</t>
  </si>
  <si>
    <t>Endocrinology</t>
  </si>
  <si>
    <t>ANKIREDDYPALLI, ANVITHA</t>
  </si>
  <si>
    <t>HUTCHISON, MICHELE</t>
  </si>
  <si>
    <t>NARAYANA, SHYAM</t>
  </si>
  <si>
    <t>ALSHAMI, SARAH</t>
  </si>
  <si>
    <t>MOUTOS, DEAN</t>
  </si>
  <si>
    <t>MILLER, MICHAEL</t>
  </si>
  <si>
    <t>MEJIA OTERO, JUAN</t>
  </si>
  <si>
    <t>BAILEY, AMELIA</t>
  </si>
  <si>
    <t>KUTTEH, WILLIAM</t>
  </si>
  <si>
    <t>KE, RAYMOND</t>
  </si>
  <si>
    <t>MALLARE, JOHANNA</t>
  </si>
  <si>
    <t>P020</t>
  </si>
  <si>
    <t>ENT/Otolaryngology</t>
  </si>
  <si>
    <t>YUEN, JAMES</t>
  </si>
  <si>
    <t>WALLACE, ROBERT</t>
  </si>
  <si>
    <t>LAU-STONE, CHRYSTAL</t>
  </si>
  <si>
    <t>SMITH, SAMUEL</t>
  </si>
  <si>
    <t>CRANFORD, ANNDI</t>
  </si>
  <si>
    <t>SHIVNANI, DEEPA</t>
  </si>
  <si>
    <t>MORRISON, CAROLINE</t>
  </si>
  <si>
    <t>TAVIN, ELLIS</t>
  </si>
  <si>
    <t>DORRITY, JEFFREY</t>
  </si>
  <si>
    <t>TILLEMANS, TAD</t>
  </si>
  <si>
    <t>HODGES, JOHN</t>
  </si>
  <si>
    <t>BRADY, JACOB</t>
  </si>
  <si>
    <t>BREAU, RANDALL</t>
  </si>
  <si>
    <t>MAY, JEFFERY</t>
  </si>
  <si>
    <t>THOMPSON, JEROME</t>
  </si>
  <si>
    <t>P021</t>
  </si>
  <si>
    <t>Gastroenterology</t>
  </si>
  <si>
    <t>PAPAYANNIS, IOANNIS</t>
  </si>
  <si>
    <t>JONES, ROY</t>
  </si>
  <si>
    <t>ISMAIL, MOHAMMAD</t>
  </si>
  <si>
    <t>PATHAPATI, SRINIVAS</t>
  </si>
  <si>
    <t>ALLEMAN, ROBERT</t>
  </si>
  <si>
    <t>JOHNSON, ARTHUR</t>
  </si>
  <si>
    <t>ENGLISH, GEORGE</t>
  </si>
  <si>
    <t>This provider specialize in Pathology</t>
  </si>
  <si>
    <t>VERTKIN, ANNA</t>
  </si>
  <si>
    <t>AMIN, VIMAL</t>
  </si>
  <si>
    <t>WOOTEN, ROBERT</t>
  </si>
  <si>
    <t>TARR, PHILLIP</t>
  </si>
  <si>
    <t>RAY, QUENTIN</t>
  </si>
  <si>
    <t>GANIM, ISMAIL</t>
  </si>
  <si>
    <t>SPIOTTA, EUGENE</t>
  </si>
  <si>
    <t>ORCUTT, JEFFREY</t>
  </si>
  <si>
    <t>FAUST, THOMAS</t>
  </si>
  <si>
    <t>MCVAY GILLAM, MARCENE</t>
  </si>
  <si>
    <t>P022</t>
  </si>
  <si>
    <t>General Surgery</t>
  </si>
  <si>
    <t>RUTLEDGE, WILLIAM</t>
  </si>
  <si>
    <t>STRANG, ROBERT</t>
  </si>
  <si>
    <t>BLAKE, ROGER</t>
  </si>
  <si>
    <t>MCGEE, WILLIAM</t>
  </si>
  <si>
    <t>GUINNIP, PAULA</t>
  </si>
  <si>
    <t>DAY, JOHN</t>
  </si>
  <si>
    <t>MILLER, JOSEPH</t>
  </si>
  <si>
    <t>WALTERS, RUSTIN</t>
  </si>
  <si>
    <t>POORE, KENITA</t>
  </si>
  <si>
    <t>FLETCHER, DANIEL</t>
  </si>
  <si>
    <t>COLLINS, SIDNEY</t>
  </si>
  <si>
    <t>MITSAKOS, ANASTASIOS</t>
  </si>
  <si>
    <t>COUNCE, JAMES</t>
  </si>
  <si>
    <t>CASTRO-OTERO, JORGE</t>
  </si>
  <si>
    <t>GARCIA SAENZ DE SICILIA, MAURICIO</t>
  </si>
  <si>
    <t>SPANN, JAMES</t>
  </si>
  <si>
    <t>MICHAEL, LATTIMORE</t>
  </si>
  <si>
    <t>TONYMON, KENNETH</t>
  </si>
  <si>
    <t>NOLEN, MICHAEL</t>
  </si>
  <si>
    <t>MEDINA-ZEA, MARCO</t>
  </si>
  <si>
    <t>BUCHANAN, ROBERT</t>
  </si>
  <si>
    <t>DUENSING, THEODORE</t>
  </si>
  <si>
    <t>MCCOY, DANIEL</t>
  </si>
  <si>
    <t>PRITCHARD, FRANCES</t>
  </si>
  <si>
    <t>PIACENTINO, VALENTINO</t>
  </si>
  <si>
    <t>MCGEADY, JAMES</t>
  </si>
  <si>
    <t>PARA, DANIEL</t>
  </si>
  <si>
    <t>RICHARDSON, TYRUN</t>
  </si>
  <si>
    <t>SHUKRALLAH, BASSAM</t>
  </si>
  <si>
    <t>CHERQUI, ALICE</t>
  </si>
  <si>
    <t>CHOPRA, ATISH</t>
  </si>
  <si>
    <t>DILLAWN, PATRICK</t>
  </si>
  <si>
    <t>SPANN, MICHAEL</t>
  </si>
  <si>
    <t>NEWMAN, ADAM</t>
  </si>
  <si>
    <t>GRYNWALD, JEFFREY</t>
  </si>
  <si>
    <t>HOWELL, KENNETH</t>
  </si>
  <si>
    <t>MAJORS, JACQUELINE</t>
  </si>
  <si>
    <t>HEARNSBERGER, JOHN</t>
  </si>
  <si>
    <t>MAYS, WILLIAM</t>
  </si>
  <si>
    <t>HALFTECK, GILI</t>
  </si>
  <si>
    <t>MOONEY, DONALD</t>
  </si>
  <si>
    <t>WOLFE, MICHAEL</t>
  </si>
  <si>
    <t>SLEZAK, JAMES</t>
  </si>
  <si>
    <t>FINE, RICHARD</t>
  </si>
  <si>
    <t>ALABASTER, ALAN</t>
  </si>
  <si>
    <t>ALTOMAR, JONATHAN</t>
  </si>
  <si>
    <t>ERDEM, EREN</t>
  </si>
  <si>
    <t>LANG, PATRICK</t>
  </si>
  <si>
    <t>SONGY, CHAD</t>
  </si>
  <si>
    <t>DIAS PERERA, ANTON</t>
  </si>
  <si>
    <t>TAYLOR, ASHLEY</t>
  </si>
  <si>
    <t>GARDON, MARK</t>
  </si>
  <si>
    <t>MUESSE, JASON</t>
  </si>
  <si>
    <t>BITTENBINDER, REBECCA</t>
  </si>
  <si>
    <t>YEOMAN, LANCE</t>
  </si>
  <si>
    <t>KINCADE, MATTHEW</t>
  </si>
  <si>
    <t>FIGUEROA-VICENTY, RICARDO</t>
  </si>
  <si>
    <t>DANIEL, NOBLE</t>
  </si>
  <si>
    <t>HENRY, DERRICK</t>
  </si>
  <si>
    <t>AKIN, ERIC</t>
  </si>
  <si>
    <t>NELSON, STEPHEN</t>
  </si>
  <si>
    <t>DECAPRIO, JEFFREY</t>
  </si>
  <si>
    <t>ALMADDAH, NUREDDIN</t>
  </si>
  <si>
    <t>RANSOM, JOHN</t>
  </si>
  <si>
    <t>CHEEK, JAY</t>
  </si>
  <si>
    <t>LOVE, ROBERT</t>
  </si>
  <si>
    <t>MIKHAIL, PETER</t>
  </si>
  <si>
    <t>GIBBS, WILLIAM</t>
  </si>
  <si>
    <t>PEMBERTON, JOHN</t>
  </si>
  <si>
    <t>BRUIJN, LUCY</t>
  </si>
  <si>
    <t>HUANG, EUNICE</t>
  </si>
  <si>
    <t>NANNA, ALERO</t>
  </si>
  <si>
    <t>TRAN, TRUNG</t>
  </si>
  <si>
    <t>SIMMONS, CHRISTIAN</t>
  </si>
  <si>
    <t>PEYOK, DAVID</t>
  </si>
  <si>
    <t>HUMPHREY, LANDON</t>
  </si>
  <si>
    <t>CHUNG, ERIC</t>
  </si>
  <si>
    <t>DUNAVANT, WILLIAM</t>
  </si>
  <si>
    <t>CEOLA, WADE</t>
  </si>
  <si>
    <t>JEAN, ROBERT</t>
  </si>
  <si>
    <t>FARR, BETHANY</t>
  </si>
  <si>
    <t>CAMPBELL, CHRISTOPHER</t>
  </si>
  <si>
    <t>BUFO, ANTHONY</t>
  </si>
  <si>
    <t>BONWICH, JANINA</t>
  </si>
  <si>
    <t>RAJAB, TAUFIEK</t>
  </si>
  <si>
    <t>BOOTH, ALLISON</t>
  </si>
  <si>
    <t>MEADORS, FREDERICK</t>
  </si>
  <si>
    <t>TURNER, KELI</t>
  </si>
  <si>
    <t>MATHEWS, CHELSEA</t>
  </si>
  <si>
    <t>GLEASON, CATHERINE</t>
  </si>
  <si>
    <t>REDMOND, CLYDE</t>
  </si>
  <si>
    <t>DAVIS, MATTHEW</t>
  </si>
  <si>
    <t>PADALINO, JOSEPH</t>
  </si>
  <si>
    <t>PATEL, ASHAY</t>
  </si>
  <si>
    <t>JEELANI, YASSER</t>
  </si>
  <si>
    <t>STOUT, CHRISTOPHER</t>
  </si>
  <si>
    <t>GARDNER, JAMES</t>
  </si>
  <si>
    <t>VOGT, VAL</t>
  </si>
  <si>
    <t>BROUSSARD, HEATH</t>
  </si>
  <si>
    <t>GODFREY, MICHELLE</t>
  </si>
  <si>
    <t>SUSORENY-VELGOS, JENNIFER</t>
  </si>
  <si>
    <t>BEENE, HANNAH</t>
  </si>
  <si>
    <t>BROWN, HUNTER</t>
  </si>
  <si>
    <t>ROBERTS, JACOB</t>
  </si>
  <si>
    <t>BRADLEY, LUCAS</t>
  </si>
  <si>
    <t>GRAND, ROBERT</t>
  </si>
  <si>
    <t>HANNA, ANGELA</t>
  </si>
  <si>
    <t>GAULT, JASON</t>
  </si>
  <si>
    <t>HARDIN, MARK</t>
  </si>
  <si>
    <t>Listed location is AR Heart Hospital- Encore. Provider is Cardiothoracic Surgeon. https://uamshealth.com/provider/mark-o-hardin/</t>
  </si>
  <si>
    <t>MARTINEZ, HUGO</t>
  </si>
  <si>
    <t>VERMONT, CHARLES</t>
  </si>
  <si>
    <t>PALYS, VIKTORAS</t>
  </si>
  <si>
    <t>KASANGANA, KALENDA</t>
  </si>
  <si>
    <t>ATHOTA, PRASAD</t>
  </si>
  <si>
    <t>GREWAL, SHAUN</t>
  </si>
  <si>
    <t>PALMER, JONATHON</t>
  </si>
  <si>
    <t>POSEY, DAVID</t>
  </si>
  <si>
    <t>P023</t>
  </si>
  <si>
    <t>Gynecology, OB/GYN</t>
  </si>
  <si>
    <t>BATRES, FRANCISCO</t>
  </si>
  <si>
    <t>PEREZ, NELSON</t>
  </si>
  <si>
    <t>NABORS, VENUS</t>
  </si>
  <si>
    <t>CAROZZA, MICHAEL</t>
  </si>
  <si>
    <t>WOOD, AMANDA</t>
  </si>
  <si>
    <t>JOHNSON, CAMIKA</t>
  </si>
  <si>
    <t>BEYER, CHRISTY</t>
  </si>
  <si>
    <t>KILLEEN, CANDICE</t>
  </si>
  <si>
    <t>WEAVER, GEORGIANN</t>
  </si>
  <si>
    <t>HIGHTOWER, RANDALL</t>
  </si>
  <si>
    <t>SMITH, JENNIFER</t>
  </si>
  <si>
    <t>MELROSE, ERICA</t>
  </si>
  <si>
    <t>BENNETT, WENDY</t>
  </si>
  <si>
    <t>WAY, EMILY</t>
  </si>
  <si>
    <t>DAVIS, KATRINA</t>
  </si>
  <si>
    <t>REED, SUSANNAH</t>
  </si>
  <si>
    <t>VELUSWAMY, HEMANTH</t>
  </si>
  <si>
    <t>ANGTUACO, TERESITA</t>
  </si>
  <si>
    <t>CROUSE, LEAH</t>
  </si>
  <si>
    <t>ABBOTT, WHITNEY</t>
  </si>
  <si>
    <t>GRAHAM, ERINNE</t>
  </si>
  <si>
    <t>WATERMAN, LISA</t>
  </si>
  <si>
    <t>SMITH, ALEXANDER</t>
  </si>
  <si>
    <t>MADILL, MCKENZIE</t>
  </si>
  <si>
    <t>SHEPHERD, KATELIN</t>
  </si>
  <si>
    <t>HALL, ERIC</t>
  </si>
  <si>
    <t>BRANCH, MIA</t>
  </si>
  <si>
    <t>ANOKWUTE, CHIBUIKE</t>
  </si>
  <si>
    <t>STONE, ROSE</t>
  </si>
  <si>
    <t>GRAFF, ALYSSA</t>
  </si>
  <si>
    <t>DEANGELIS, ABIGAIL</t>
  </si>
  <si>
    <t>ORDONEZ, DANICA ANGELA</t>
  </si>
  <si>
    <t>ADAIR, CHARLES</t>
  </si>
  <si>
    <t>PORTER, BLAKE</t>
  </si>
  <si>
    <t>CLAY, MICAH</t>
  </si>
  <si>
    <t>GRAVES, ANGELA</t>
  </si>
  <si>
    <t>KENNEDY, KATHRYN</t>
  </si>
  <si>
    <t>GILLS, EDWARD</t>
  </si>
  <si>
    <t>PEDROSO, JASMINE</t>
  </si>
  <si>
    <t>BAZZETT-MATABELE, LISA</t>
  </si>
  <si>
    <t>MYERS, SUSAN</t>
  </si>
  <si>
    <t>P024</t>
  </si>
  <si>
    <t>Infectious Diseases</t>
  </si>
  <si>
    <t>DAVIS, KEVIN</t>
  </si>
  <si>
    <t>PINGILI, CHANDRA</t>
  </si>
  <si>
    <t>Provider moved to Ohio</t>
  </si>
  <si>
    <t>MOIX, JENNIFER</t>
  </si>
  <si>
    <t>KELLY, MATTHEW</t>
  </si>
  <si>
    <t>KILGORE, APRIL</t>
  </si>
  <si>
    <t>STILLWELL, MARK</t>
  </si>
  <si>
    <t>WILLIAMS, DWIGHT</t>
  </si>
  <si>
    <t>WASI, FAISAL</t>
  </si>
  <si>
    <t>JANSEN, ANDREA</t>
  </si>
  <si>
    <t>GRAY, CAMDIN</t>
  </si>
  <si>
    <t>P025</t>
  </si>
  <si>
    <t>Nephrology</t>
  </si>
  <si>
    <t>RAYAZ, KHALID</t>
  </si>
  <si>
    <t>KHAN, SUPRIYA</t>
  </si>
  <si>
    <t>HUSSEIN, WAEL</t>
  </si>
  <si>
    <t>TURNER, ASHBY</t>
  </si>
  <si>
    <t>KHAN, MOHAMMED</t>
  </si>
  <si>
    <t>ALQURINI, NADIA</t>
  </si>
  <si>
    <t>WALTERS, WILLIAM</t>
  </si>
  <si>
    <t>ABDALLAH, AHMED</t>
  </si>
  <si>
    <t>MELHEM, ARAFAT</t>
  </si>
  <si>
    <t>FISCHER, PETER</t>
  </si>
  <si>
    <t>JACOBS, EMILY</t>
  </si>
  <si>
    <t>KURICHETY, KIRAN</t>
  </si>
  <si>
    <t>TRIPURANENI, SRINATH</t>
  </si>
  <si>
    <t>THOTAKURA, RAMAKRISHNA</t>
  </si>
  <si>
    <t>DESILVA, SHARI</t>
  </si>
  <si>
    <t>KHER, KANWAL</t>
  </si>
  <si>
    <t>ALI, UMAIR</t>
  </si>
  <si>
    <t>GREEN, CHRISTINA</t>
  </si>
  <si>
    <t>DWORKIN, JOEL</t>
  </si>
  <si>
    <t>RAMOS, ANGEL</t>
  </si>
  <si>
    <t>HENRY, JAMES</t>
  </si>
  <si>
    <t>WELLS, THOMAS</t>
  </si>
  <si>
    <t>VATANAPRADITH, ATHIP</t>
  </si>
  <si>
    <t>HADDAD, HASSAN</t>
  </si>
  <si>
    <t>P026</t>
  </si>
  <si>
    <t>Neurology</t>
  </si>
  <si>
    <t>VUK, STANKO</t>
  </si>
  <si>
    <t>LAMOUSIN, JAMES</t>
  </si>
  <si>
    <t>BAYLES, SAMUEL</t>
  </si>
  <si>
    <t>CANNON, HOLLY</t>
  </si>
  <si>
    <t>KATHIRESAN, KARTHIKEYANI</t>
  </si>
  <si>
    <t>NARDI, CAROLINE</t>
  </si>
  <si>
    <t>LAMI, VICTOR</t>
  </si>
  <si>
    <t>NARAYAN, DWAYNE</t>
  </si>
  <si>
    <t>SMITH, MARCUS</t>
  </si>
  <si>
    <t>MACE, JOHN</t>
  </si>
  <si>
    <t>HASELOW, TRACY</t>
  </si>
  <si>
    <t>HURWITZ, STEPHEN</t>
  </si>
  <si>
    <t>RICHARDSON, BRITTANY</t>
  </si>
  <si>
    <t>MATTOX, RHONDA</t>
  </si>
  <si>
    <t>WILLIAMS, RODNEY</t>
  </si>
  <si>
    <t>BAHGAT, DIAA</t>
  </si>
  <si>
    <t>HENDERSON, LEIGH</t>
  </si>
  <si>
    <t>SULLIVAN, ELIZABETH</t>
  </si>
  <si>
    <t>CARREJO, CHRISTINE</t>
  </si>
  <si>
    <t>OCAL, EYLEM</t>
  </si>
  <si>
    <t>WOESSNER, HEIDI</t>
  </si>
  <si>
    <t>SWAMY, USHA</t>
  </si>
  <si>
    <t>UDDIN, IMAD</t>
  </si>
  <si>
    <t>RENCK, GREGORY</t>
  </si>
  <si>
    <t>PRADHAN, TANIYA</t>
  </si>
  <si>
    <t>JAIN, ALOK</t>
  </si>
  <si>
    <t>BARTON, EDWARD</t>
  </si>
  <si>
    <t>SPARKS, SHANE</t>
  </si>
  <si>
    <t>GROOMS, AMY</t>
  </si>
  <si>
    <t>BISHOP, TERRELL</t>
  </si>
  <si>
    <t>ALBERT, GREGORY</t>
  </si>
  <si>
    <t>KLIMO, PAUL</t>
  </si>
  <si>
    <t>REINERTSEN, KAREN</t>
  </si>
  <si>
    <t>MILLER, VALERIE</t>
  </si>
  <si>
    <t>WATERMAN, SUSAN</t>
  </si>
  <si>
    <t>TUMMALA, PAVAN</t>
  </si>
  <si>
    <t>PAYNE, ALVIN</t>
  </si>
  <si>
    <t>WONG, KATHLEEN</t>
  </si>
  <si>
    <t>VIRK, EJAZ</t>
  </si>
  <si>
    <t>VIGNESWARAN, KRISHANTHAN</t>
  </si>
  <si>
    <t>GOCIO, ALLAN</t>
  </si>
  <si>
    <t>PHILLIPS, JUSTIN</t>
  </si>
  <si>
    <t>DOWDY, JUSTIN</t>
  </si>
  <si>
    <t>POWELL, JUSTIN</t>
  </si>
  <si>
    <t>THOMAS, LYNN</t>
  </si>
  <si>
    <t>CONNOR, DAVID</t>
  </si>
  <si>
    <t>POPA, VASILE</t>
  </si>
  <si>
    <t>RODRIGUEZ LEE, JORGE</t>
  </si>
  <si>
    <t>CONWAY, MELANIE</t>
  </si>
  <si>
    <t>NARLESKY, MATTHEW</t>
  </si>
  <si>
    <t>JONES, DANIEL</t>
  </si>
  <si>
    <t>CUNNINGHAM, EDWIN</t>
  </si>
  <si>
    <t>MIKUS, STEPHEN</t>
  </si>
  <si>
    <t>AROMIN, JOURDAN</t>
  </si>
  <si>
    <t>FISH, DANIEL</t>
  </si>
  <si>
    <t>RAMBO, WILLIAM</t>
  </si>
  <si>
    <t>GOULD, AMANDA</t>
  </si>
  <si>
    <t>SCHMIDT, JENNY</t>
  </si>
  <si>
    <t>DINH, BEATRIZ</t>
  </si>
  <si>
    <t>CRABTREE, HERBERT</t>
  </si>
  <si>
    <t>HAIDERZAD, TALIA</t>
  </si>
  <si>
    <t>BELKNAP, TOBY</t>
  </si>
  <si>
    <t>BACHU, ANIL</t>
  </si>
  <si>
    <t>AGUD, HOLLY</t>
  </si>
  <si>
    <t>NGUYEN, DIEM-QUYNH</t>
  </si>
  <si>
    <t>KHOSHYOMN, SAMI</t>
  </si>
  <si>
    <t>GONZALES, CARMELA</t>
  </si>
  <si>
    <t>JOHNSON, TARA</t>
  </si>
  <si>
    <t>LIUBICICH, JEFFREY</t>
  </si>
  <si>
    <t>PANDHI, ABHI</t>
  </si>
  <si>
    <t>GESS, JENNIFER</t>
  </si>
  <si>
    <t>HOBBS, LEITH</t>
  </si>
  <si>
    <t>ANSELL, JACQUELINE</t>
  </si>
  <si>
    <t>NORVILL, KEITH</t>
  </si>
  <si>
    <t>CHANDLER, ANGELA</t>
  </si>
  <si>
    <t>ANDER, TRACY</t>
  </si>
  <si>
    <t>KONG, WAN YEE</t>
  </si>
  <si>
    <t>RASUL, FAHIM</t>
  </si>
  <si>
    <t>AKINWUMIJU, OLAYINKA</t>
  </si>
  <si>
    <t>ARTHUR, JAMES</t>
  </si>
  <si>
    <t>EVANS, BRANDON</t>
  </si>
  <si>
    <t>AL-SHAHROURI, HANIA</t>
  </si>
  <si>
    <t>KHAWAJA, AYAZ</t>
  </si>
  <si>
    <t>DRANEY, DAVID</t>
  </si>
  <si>
    <t>MANNING, CONRAD</t>
  </si>
  <si>
    <t>SUKU, SURAJ</t>
  </si>
  <si>
    <t>HOLDEN, DONNIE</t>
  </si>
  <si>
    <t>SPIOTTO, ERNEST</t>
  </si>
  <si>
    <t>KNEFATI, MOHAMED</t>
  </si>
  <si>
    <t>SCOTT, LISA</t>
  </si>
  <si>
    <t>JACKSON, RICHARD</t>
  </si>
  <si>
    <t>OLINGER, RODNEY</t>
  </si>
  <si>
    <t>RODRIGUEZ, ANALIZ</t>
  </si>
  <si>
    <t>SMITHERMAN, ADAM</t>
  </si>
  <si>
    <t>GAGE, MARK</t>
  </si>
  <si>
    <t>GALLAHER, REGAN</t>
  </si>
  <si>
    <t>HUDEFI, FAYZ</t>
  </si>
  <si>
    <t>P027</t>
  </si>
  <si>
    <t>Neurosurgery</t>
  </si>
  <si>
    <t>KATSNELSON, MICHAEL</t>
  </si>
  <si>
    <t>CATHEY, STEVEN</t>
  </si>
  <si>
    <t>NANGUNOORI, RAJ</t>
  </si>
  <si>
    <t>LOVELL, LAVERNE</t>
  </si>
  <si>
    <t>POMERANIEC, ISAAC</t>
  </si>
  <si>
    <t>GERRARD, JASON</t>
  </si>
  <si>
    <t>KUMAR, VISHAD</t>
  </si>
  <si>
    <t>DESAI, AARON</t>
  </si>
  <si>
    <t>KIEHM, KELLY</t>
  </si>
  <si>
    <t>SHEDDEN, PETER</t>
  </si>
  <si>
    <t>ROBERTSON, JON</t>
  </si>
  <si>
    <t>MULPUR, BHAGEERADH</t>
  </si>
  <si>
    <t>LEIGH, TYLER</t>
  </si>
  <si>
    <t>P028</t>
  </si>
  <si>
    <t>Occupational Therapy</t>
  </si>
  <si>
    <t>SCHUERGER, ASHLEY</t>
  </si>
  <si>
    <t>BERG, MEGAN</t>
  </si>
  <si>
    <t>WATSON, ADRIANN</t>
  </si>
  <si>
    <t>KINCANNON, ELIZABETH</t>
  </si>
  <si>
    <t>SMITH, JOHN</t>
  </si>
  <si>
    <t>SENGER, MAXWELL</t>
  </si>
  <si>
    <t>LENTZ, CORA</t>
  </si>
  <si>
    <t>MITCHELL, CAROLINE</t>
  </si>
  <si>
    <t>GREEN, JESSIE</t>
  </si>
  <si>
    <t>MCDONALD, MICHELLE</t>
  </si>
  <si>
    <t>BERGT, SYDNEY</t>
  </si>
  <si>
    <t>MOSLEY, MEGAN</t>
  </si>
  <si>
    <t>NORTHCUTT, REBECCA</t>
  </si>
  <si>
    <t>CASEY, ALYSSA</t>
  </si>
  <si>
    <t>REECE, AMY</t>
  </si>
  <si>
    <t>WOLTERS, ALANA</t>
  </si>
  <si>
    <t>MALONE, CHRISTOPHER</t>
  </si>
  <si>
    <t>COOK, JESSICA</t>
  </si>
  <si>
    <t>CHAMBERLIN, CARA</t>
  </si>
  <si>
    <t>SEIDEL, MACKENZIE</t>
  </si>
  <si>
    <t>VEAZEY, CYNTHIA</t>
  </si>
  <si>
    <t>MCRAE, ASHLEN</t>
  </si>
  <si>
    <t>PETERSEN, SHELBY</t>
  </si>
  <si>
    <t>WATERS, COLTON</t>
  </si>
  <si>
    <t>JOHNSON, KIMBERLY</t>
  </si>
  <si>
    <t>SIMMONS, ANSLEY</t>
  </si>
  <si>
    <t>MENDEZ, LAURA</t>
  </si>
  <si>
    <t>SULKOWSKI, JENNA</t>
  </si>
  <si>
    <t>REED, LANDON</t>
  </si>
  <si>
    <t>MOH, EMEKA</t>
  </si>
  <si>
    <t>DAUT, MARY FRANCES</t>
  </si>
  <si>
    <t>GREENWOOD, LAURA</t>
  </si>
  <si>
    <t>BERGSTROM, ALLISON</t>
  </si>
  <si>
    <t>ROMERO, JUDITH</t>
  </si>
  <si>
    <t>JONES, SADIE</t>
  </si>
  <si>
    <t>ASHCRAFT, ALISSA</t>
  </si>
  <si>
    <t>CISSELL, SHELLEY</t>
  </si>
  <si>
    <t>ROSEL, CAROLINE</t>
  </si>
  <si>
    <t>DIAZ, ALYSSA</t>
  </si>
  <si>
    <t>CLARK-HURST, CALIN</t>
  </si>
  <si>
    <t>BREGY, FRANK</t>
  </si>
  <si>
    <t>ESCUE, AMANDA</t>
  </si>
  <si>
    <t>VAN CAMP, SARAH</t>
  </si>
  <si>
    <t>OHOLENDT, CHRISTOPHER</t>
  </si>
  <si>
    <t>SCHLUTERMAN, STEPHANIE</t>
  </si>
  <si>
    <t>GIBBY, AWBREY</t>
  </si>
  <si>
    <t>KOONE, CAROLINE</t>
  </si>
  <si>
    <t>HARTMAN, MARY</t>
  </si>
  <si>
    <t>DALTON, TAYLOR</t>
  </si>
  <si>
    <t>GOSWICK, TYLER</t>
  </si>
  <si>
    <t>WILLIAMS, OLIVIA</t>
  </si>
  <si>
    <t>SMITH, BRITTANY</t>
  </si>
  <si>
    <t>BARRY, HALEY</t>
  </si>
  <si>
    <t>SMITH, KIMBERLY</t>
  </si>
  <si>
    <t>BOOTH, TYLER</t>
  </si>
  <si>
    <t>BRUMLEY, KENDRA</t>
  </si>
  <si>
    <t>PRESSLER, SARAH</t>
  </si>
  <si>
    <t>HORTON, CODY</t>
  </si>
  <si>
    <t>SPRADLIN, SHONNA</t>
  </si>
  <si>
    <t>OSMENT, KATHRYN</t>
  </si>
  <si>
    <t>MILLER, HEATHER</t>
  </si>
  <si>
    <t>LEE, KRYSHA</t>
  </si>
  <si>
    <t>NASH, KRYSTA</t>
  </si>
  <si>
    <t>MCDONALD, HATTIE</t>
  </si>
  <si>
    <t>KINCADE, KAILEY</t>
  </si>
  <si>
    <t>RYAN, SARAH</t>
  </si>
  <si>
    <t>OYIOKA, OROO</t>
  </si>
  <si>
    <t>CUNNINGHAM, KATIE</t>
  </si>
  <si>
    <t>QUATTLEBAUM, CASEY</t>
  </si>
  <si>
    <t>MONTIJO, ASHLEY</t>
  </si>
  <si>
    <t>BOWLAN, MADISON</t>
  </si>
  <si>
    <t>BURNS, HALEY</t>
  </si>
  <si>
    <t>HODGES, TINA</t>
  </si>
  <si>
    <t>BUNCH, WHITLEY</t>
  </si>
  <si>
    <t>BALL, LAUREN</t>
  </si>
  <si>
    <t>ISRAEL, SARA</t>
  </si>
  <si>
    <t>NORTON, KARA</t>
  </si>
  <si>
    <t>KEOUGH, CHAMY</t>
  </si>
  <si>
    <t>WECKBACH, CHELSEA</t>
  </si>
  <si>
    <t>P029</t>
  </si>
  <si>
    <t>Oncology - Medical, Surgical</t>
  </si>
  <si>
    <t>ZAK, VERONICA</t>
  </si>
  <si>
    <t>TOOTHAKER, STEPHEN</t>
  </si>
  <si>
    <t>WILLS, CHRISTINA</t>
  </si>
  <si>
    <t>RANA, HASAN</t>
  </si>
  <si>
    <t>MROZ, CHRISTINE</t>
  </si>
  <si>
    <t>CHEN, RICKY</t>
  </si>
  <si>
    <t>TSAO, MIRIAM</t>
  </si>
  <si>
    <t>LANDRUM, LESLIE</t>
  </si>
  <si>
    <t>PODDAR, NISHANT</t>
  </si>
  <si>
    <t>OWENS, CURTIS</t>
  </si>
  <si>
    <t>MCCLINTON, CHRISTOPHER</t>
  </si>
  <si>
    <t>ESTHER, JOHN</t>
  </si>
  <si>
    <t>WELLS, JOHN</t>
  </si>
  <si>
    <t>HUANG, CHEN</t>
  </si>
  <si>
    <t>ELNAGGAR, ADAM</t>
  </si>
  <si>
    <t>HARRINGTON, SARAH</t>
  </si>
  <si>
    <t>DELOZIER, OLIVIA</t>
  </si>
  <si>
    <t>PORTER, MIRIAM</t>
  </si>
  <si>
    <t>GHANDOUR, OMAR</t>
  </si>
  <si>
    <t>HARTFORD, CHRISTINE</t>
  </si>
  <si>
    <t>YENDALA, RACHANA</t>
  </si>
  <si>
    <t>ALI, MUHAMMAD</t>
  </si>
  <si>
    <t>WESTBROOK, KENT</t>
  </si>
  <si>
    <t>FANT, JERRI</t>
  </si>
  <si>
    <t>NADVI, SAMINA</t>
  </si>
  <si>
    <t>LOCKRIDGE, LESLIE</t>
  </si>
  <si>
    <t>KAROL, SETH</t>
  </si>
  <si>
    <t>SIMS, JOHN</t>
  </si>
  <si>
    <t>GOEL, ARVIND</t>
  </si>
  <si>
    <t>HENDRIX, ASHLEY</t>
  </si>
  <si>
    <t>GORE, MARGARET</t>
  </si>
  <si>
    <t>REED, MARK</t>
  </si>
  <si>
    <t>GARNER, HERSHEL</t>
  </si>
  <si>
    <t>ROBERTSON, YARA</t>
  </si>
  <si>
    <t>GARTRELL, JESSICA</t>
  </si>
  <si>
    <t>RHEA, ISAAC</t>
  </si>
  <si>
    <t>HUNTER, AARON</t>
  </si>
  <si>
    <t>THROCKMORTON, ALYSSA</t>
  </si>
  <si>
    <t>POPE, CHRISTOPHER</t>
  </si>
  <si>
    <t>JOSHI, JITESH</t>
  </si>
  <si>
    <t>LOPEZ, JAMES</t>
  </si>
  <si>
    <t>MALIK, NAZISH</t>
  </si>
  <si>
    <t>WENDLING, CHARLES</t>
  </si>
  <si>
    <t>CORREA, AMIT</t>
  </si>
  <si>
    <t>SANTOSO, JOSEPH</t>
  </si>
  <si>
    <t>WANG, JACK</t>
  </si>
  <si>
    <t>HONHAR, MEDHAVI</t>
  </si>
  <si>
    <t>MAVROS, MICHAIL</t>
  </si>
  <si>
    <t>APPELL, LAUREN</t>
  </si>
  <si>
    <t>COLLINS, KATHLEEN</t>
  </si>
  <si>
    <t>MENENDEZ, CHRISTOPHER</t>
  </si>
  <si>
    <t>JOHN, ELIZABETH</t>
  </si>
  <si>
    <t>BARRETO ANDRADE, JUAN</t>
  </si>
  <si>
    <t>KUMAR, SANJEEV</t>
  </si>
  <si>
    <t>OTIENO, STEVE</t>
  </si>
  <si>
    <t>KRASIN, MATTHEW</t>
  </si>
  <si>
    <t>P030</t>
  </si>
  <si>
    <t>Oncology - Radiation</t>
  </si>
  <si>
    <t>WELLS, GARY</t>
  </si>
  <si>
    <t>ACOSTA, VIOLIZA</t>
  </si>
  <si>
    <t>GOLDER, STEPHEN</t>
  </si>
  <si>
    <t>SASAKI-ADAMS, DEANNA</t>
  </si>
  <si>
    <t>NICKELE, CHRISTOPHER</t>
  </si>
  <si>
    <t>MIDDLETON, DEREK</t>
  </si>
  <si>
    <t>LANE, SHELBY</t>
  </si>
  <si>
    <t>MALATY, ESSAM</t>
  </si>
  <si>
    <t>ZAK, DMITRIY</t>
  </si>
  <si>
    <t>WENDEL, MARK</t>
  </si>
  <si>
    <t>ABRAHAM, EDWARD</t>
  </si>
  <si>
    <t>PHAM, HA</t>
  </si>
  <si>
    <t>ELIJOVICH, LUCAS</t>
  </si>
  <si>
    <t>MCKEEVER, MATTHEW</t>
  </si>
  <si>
    <t>HOIT, DANIEL</t>
  </si>
  <si>
    <t>P031</t>
  </si>
  <si>
    <t>Ophthalmology</t>
  </si>
  <si>
    <t>BURNSIDE, CATEON</t>
  </si>
  <si>
    <t>Optometrist</t>
  </si>
  <si>
    <t>WALSH, ANNA</t>
  </si>
  <si>
    <t>WARREN, OTHA</t>
  </si>
  <si>
    <t>GILMORE, LAURA</t>
  </si>
  <si>
    <t>BRYANT, NORMAN</t>
  </si>
  <si>
    <t>COFFEE, KAYTON</t>
  </si>
  <si>
    <t>HARPER, RICHARD</t>
  </si>
  <si>
    <t>HARVEY, PAIGE</t>
  </si>
  <si>
    <t>VARELA, CHARLES</t>
  </si>
  <si>
    <t>MOHARER, OLIVIA</t>
  </si>
  <si>
    <t>MEQUIO, MICHAEL</t>
  </si>
  <si>
    <t>GULLEY, THOMAS</t>
  </si>
  <si>
    <t>CENGIZ, OSMAN</t>
  </si>
  <si>
    <t>MAJEWSKI, WOJCIECH</t>
  </si>
  <si>
    <t>HARDCASTLE, RICHARD</t>
  </si>
  <si>
    <t>PEARSON, JESSICA</t>
  </si>
  <si>
    <t>P032</t>
  </si>
  <si>
    <t>Orthopedic Surgery</t>
  </si>
  <si>
    <t>ACHILIKE, ROBERT</t>
  </si>
  <si>
    <t>MESKO, JOHN</t>
  </si>
  <si>
    <t>LAL, SUNDEEP</t>
  </si>
  <si>
    <t>BERRY, JON</t>
  </si>
  <si>
    <t>GRIMES, COLLIN</t>
  </si>
  <si>
    <t>MELTON, HEATHER</t>
  </si>
  <si>
    <t>MCINTOSH, JOSHUA</t>
  </si>
  <si>
    <t>MILLER, ROBERT</t>
  </si>
  <si>
    <t>MCCLENDON, JAMAL</t>
  </si>
  <si>
    <t>LENTS, CONSTANCE</t>
  </si>
  <si>
    <t>ANDERSON, JOSHUA</t>
  </si>
  <si>
    <t>THOMAS, DARRYL</t>
  </si>
  <si>
    <t>WIENER, HILLEL</t>
  </si>
  <si>
    <t>ISRAEL, MICHAEL</t>
  </si>
  <si>
    <t>COBB, SARAH</t>
  </si>
  <si>
    <t>BELL, MICHAEL</t>
  </si>
  <si>
    <t>MARTINEZ, SANTOS</t>
  </si>
  <si>
    <t>MCKENZIE, JAMES</t>
  </si>
  <si>
    <t>WRIGHT, SEAN</t>
  </si>
  <si>
    <t>VINSON, CHRISTOPHER</t>
  </si>
  <si>
    <t>DOWLING, DAVID</t>
  </si>
  <si>
    <t>FEGER, MARK</t>
  </si>
  <si>
    <t>HARDY, ROSS</t>
  </si>
  <si>
    <t>GRAVES, STEPHANIE</t>
  </si>
  <si>
    <t>MEALER, TABITHA</t>
  </si>
  <si>
    <t>REEVES, ROBERT</t>
  </si>
  <si>
    <t>MOSELEY, CLAIBORNE</t>
  </si>
  <si>
    <t>MUELLER, KATRINA</t>
  </si>
  <si>
    <t>HILL, CHAD</t>
  </si>
  <si>
    <t>WAANDERS, NICHOLAS</t>
  </si>
  <si>
    <t>ALLISON, RUSSELL</t>
  </si>
  <si>
    <t>DODGE, BENJAMIN</t>
  </si>
  <si>
    <t>AGNEW, SAMUEL</t>
  </si>
  <si>
    <t>WAHLMEIER, LAUREN</t>
  </si>
  <si>
    <t>MANCELL, JIMMIE</t>
  </si>
  <si>
    <t>HEARNDON, MICHAEL</t>
  </si>
  <si>
    <t>ZUBAIR, ADNAN</t>
  </si>
  <si>
    <t>P033</t>
  </si>
  <si>
    <t>Outpatient Clinical Behavioral Health</t>
  </si>
  <si>
    <t>WIGINGTON, ASHLEY</t>
  </si>
  <si>
    <t>MEDLIN, AMBER</t>
  </si>
  <si>
    <t>TOLLESON, TAYLOR</t>
  </si>
  <si>
    <t>LUSTER, JERRICA</t>
  </si>
  <si>
    <t>SMITH, MADISON</t>
  </si>
  <si>
    <t>BAWEJA, PRIYANKA</t>
  </si>
  <si>
    <t>MARTIN, LEAH</t>
  </si>
  <si>
    <t>PALAHNIUK, JENNIFER</t>
  </si>
  <si>
    <t>LIMORE, TYLER</t>
  </si>
  <si>
    <t>REID, JANA</t>
  </si>
  <si>
    <t>OGLESBY, ADRAIN</t>
  </si>
  <si>
    <t>DEVORE, SARA</t>
  </si>
  <si>
    <t>New provider</t>
  </si>
  <si>
    <t>PIZZITOLA, KELLY</t>
  </si>
  <si>
    <t>ALLEN, BRITTANY</t>
  </si>
  <si>
    <t>GHOBADIMANESH, ALEXANDER</t>
  </si>
  <si>
    <t>BOYD, CARMEN</t>
  </si>
  <si>
    <t>HOLTGREVEN, MARISA</t>
  </si>
  <si>
    <t>LAIN, KATHERINE</t>
  </si>
  <si>
    <t>HOBBS, MARY</t>
  </si>
  <si>
    <t>SANDUSKY, TARA</t>
  </si>
  <si>
    <t>WYLIE, CORI</t>
  </si>
  <si>
    <t>REYNOLDS, KAREN</t>
  </si>
  <si>
    <t>HALL, KAREN</t>
  </si>
  <si>
    <t>HREBIEN, ANTHONY</t>
  </si>
  <si>
    <t>LUNDAY, CALEB</t>
  </si>
  <si>
    <t>JENKINS, STEPHEN</t>
  </si>
  <si>
    <t xml:space="preserve">New provider, </t>
  </si>
  <si>
    <t>BOSTIAN-NEAL, ELISABETH</t>
  </si>
  <si>
    <t>KILLIAN, BRITTANY</t>
  </si>
  <si>
    <t>GEYER, ERIN</t>
  </si>
  <si>
    <t>THARP, JOHN</t>
  </si>
  <si>
    <t>KINDRICK, WILLIAM</t>
  </si>
  <si>
    <t>BURGESS, ASHTIN</t>
  </si>
  <si>
    <t>CARR, GARY</t>
  </si>
  <si>
    <t>BOAZAK, MINA</t>
  </si>
  <si>
    <t>COFFMAN, KRISTEN</t>
  </si>
  <si>
    <t>JOHNSON, EMILY</t>
  </si>
  <si>
    <t>SPENCER, KIMBERLY</t>
  </si>
  <si>
    <t>LINCOLN, SOPHIA</t>
  </si>
  <si>
    <t>LAFLORA, TONIKA</t>
  </si>
  <si>
    <t>ADAMS, LINDSEY</t>
  </si>
  <si>
    <t>CONLEY, ALTHEA</t>
  </si>
  <si>
    <t>MARTIN, AUDREY</t>
  </si>
  <si>
    <t>CHERRY, MEGAN</t>
  </si>
  <si>
    <t>CARPENTER, BIANCA</t>
  </si>
  <si>
    <t>THOMPSON, JEREMY</t>
  </si>
  <si>
    <t>SMITH, ERIC</t>
  </si>
  <si>
    <t>WILSON, AMANDA</t>
  </si>
  <si>
    <t>GRAHAM, PAULA</t>
  </si>
  <si>
    <t>BIXLER, HEATHER</t>
  </si>
  <si>
    <t>GRAHAM, REBECCA</t>
  </si>
  <si>
    <t>MORTON, SIDNEY</t>
  </si>
  <si>
    <t>FOUST, MIKELL</t>
  </si>
  <si>
    <t>MULLINS, JENNA</t>
  </si>
  <si>
    <t>ROBINSON, JENNIFER</t>
  </si>
  <si>
    <t>GUTIERREZ, SAMANTHA</t>
  </si>
  <si>
    <t>PANIAGUA TORRES, CARMEN</t>
  </si>
  <si>
    <t>DORSEY, BRANDI</t>
  </si>
  <si>
    <t>DELIGENT, REGINALD</t>
  </si>
  <si>
    <t>LONGORIA, JENNIFER</t>
  </si>
  <si>
    <t>MERRITT, ASHLEY</t>
  </si>
  <si>
    <t>MAGIERA-PLANEY, RENEE</t>
  </si>
  <si>
    <t>STINNETT, THOMAS</t>
  </si>
  <si>
    <t>GLASSCOCK, APRIL</t>
  </si>
  <si>
    <t>MILLER, LAURENCE</t>
  </si>
  <si>
    <t>STERLING, MELANIE</t>
  </si>
  <si>
    <t>MARTIN, KATHY</t>
  </si>
  <si>
    <t>ANDERSON, MICHEL</t>
  </si>
  <si>
    <t>HUDSON, DENISE</t>
  </si>
  <si>
    <t>DEAN, SHANIQUA</t>
  </si>
  <si>
    <t>SAINTFORT, RALPH</t>
  </si>
  <si>
    <t>LINDSEY, SARAH</t>
  </si>
  <si>
    <t>HOLT, TAMMY</t>
  </si>
  <si>
    <t>BLEMMEL, CARLY</t>
  </si>
  <si>
    <t>GIBBS, MELISSA</t>
  </si>
  <si>
    <t>NAZARI, NATASHA</t>
  </si>
  <si>
    <t>RUSINOWSKI, JUSTIN</t>
  </si>
  <si>
    <t>WASHINGTON, ABEER</t>
  </si>
  <si>
    <t>LIVINGSTON, TINA</t>
  </si>
  <si>
    <t>HARMON, LAURA</t>
  </si>
  <si>
    <t>COFFMAN, DEANN</t>
  </si>
  <si>
    <t>SEALS, TAMEKA</t>
  </si>
  <si>
    <t>VALLEJO, GRACE</t>
  </si>
  <si>
    <t>CAFFEY, BRANDI</t>
  </si>
  <si>
    <t>ROSARIO, OLIMPIA</t>
  </si>
  <si>
    <t>HOUSE, SAMUEL</t>
  </si>
  <si>
    <t>VISSER-PARDEE, MALLORY</t>
  </si>
  <si>
    <t>WILLIAMS, MEREDITH</t>
  </si>
  <si>
    <t>GENTLE, SHONICA</t>
  </si>
  <si>
    <t>JOINER, MELISSA</t>
  </si>
  <si>
    <t>PALMER, SARAH</t>
  </si>
  <si>
    <t>GRAY, MARISSA</t>
  </si>
  <si>
    <t>ULBRICH, KAYLIN</t>
  </si>
  <si>
    <t>WALTER, MARY</t>
  </si>
  <si>
    <t>REYNOLDS, ELISE</t>
  </si>
  <si>
    <t>GRIFFIN, ANNE</t>
  </si>
  <si>
    <t>BOWMAN, ROBERT</t>
  </si>
  <si>
    <t>LORAH, ELIZABETH</t>
  </si>
  <si>
    <t>JEGLEY, SUSAN</t>
  </si>
  <si>
    <t>WILLIAMS, NATHAN</t>
  </si>
  <si>
    <t>SMITH, RYAN</t>
  </si>
  <si>
    <t>CATLIN, DAVID</t>
  </si>
  <si>
    <t>WILCOX, LYNDSIE</t>
  </si>
  <si>
    <t>MOJICA, SUMMER</t>
  </si>
  <si>
    <t>STEPHENS, KELLY</t>
  </si>
  <si>
    <t>JAIN, DAVE</t>
  </si>
  <si>
    <t>LATORRE, FABIAN</t>
  </si>
  <si>
    <t>DEMORET, ELIZABETH</t>
  </si>
  <si>
    <t>MELTON, HSIANG-YUN</t>
  </si>
  <si>
    <t>HALE, ZACHARY</t>
  </si>
  <si>
    <t>BENNETT, LEIGH</t>
  </si>
  <si>
    <t>HERNDON, HILARY</t>
  </si>
  <si>
    <t>LIMA, LAURN</t>
  </si>
  <si>
    <t>STEED, KELLY</t>
  </si>
  <si>
    <t>MCKNIGHT, SERENA</t>
  </si>
  <si>
    <t>SMITH, ANDREW</t>
  </si>
  <si>
    <t>CAWTHRON, LACEY</t>
  </si>
  <si>
    <t>LEDOUX, CODY</t>
  </si>
  <si>
    <t>HOOD, JONI</t>
  </si>
  <si>
    <t>JEZIORSKI, VERONICA</t>
  </si>
  <si>
    <t>LEVERETTE, ALICIA</t>
  </si>
  <si>
    <t>LEE, KEIRSTEN</t>
  </si>
  <si>
    <t>DEWALT, ALLISON</t>
  </si>
  <si>
    <t>FLEMING, JENNIFER</t>
  </si>
  <si>
    <t>TILLMAN, EMILY</t>
  </si>
  <si>
    <t>HARRIS, MELODEE</t>
  </si>
  <si>
    <t>SUN, ZHIQIANG</t>
  </si>
  <si>
    <t>WILLYARD, CARRIE</t>
  </si>
  <si>
    <t>NIEMCZYK, MALLORY</t>
  </si>
  <si>
    <t>TRAMEL, BETHANIE</t>
  </si>
  <si>
    <t>MCKEE, AMY</t>
  </si>
  <si>
    <t>BROWN, CHARLENE</t>
  </si>
  <si>
    <t>HUNTSMAN, ASHLEIGH</t>
  </si>
  <si>
    <t>PHILLIPS, SARAH</t>
  </si>
  <si>
    <t>JENKINS, CASEY</t>
  </si>
  <si>
    <t>AGUILAR, TEODORO</t>
  </si>
  <si>
    <t>BERNER, KEITH</t>
  </si>
  <si>
    <t>MUKATIRA, UTHAPPA</t>
  </si>
  <si>
    <t>FULLER, LISA</t>
  </si>
  <si>
    <t>SULLIVAN, EDISON</t>
  </si>
  <si>
    <t>NORTHERN, JENNIFER</t>
  </si>
  <si>
    <t>SMITH, TIFFANY</t>
  </si>
  <si>
    <t>HASKINS, JANA</t>
  </si>
  <si>
    <t>BONDS, ABIGAIL</t>
  </si>
  <si>
    <t>SMITH, WHITNEY</t>
  </si>
  <si>
    <t>SELTHOFNER, SUSAN</t>
  </si>
  <si>
    <t>GERARDO, MICHAEL</t>
  </si>
  <si>
    <t>DAVIS, MISTY</t>
  </si>
  <si>
    <t>ALDEA, IVAN</t>
  </si>
  <si>
    <t>STEVENS, SAVANNAH</t>
  </si>
  <si>
    <t>WILLIAMS, JESSICA</t>
  </si>
  <si>
    <t>BELL-TOLLIVER, LAVERNE</t>
  </si>
  <si>
    <t>DAFFRON, ASHLEY</t>
  </si>
  <si>
    <t>HAUGHEY, ALLIE</t>
  </si>
  <si>
    <t>JOSEPH, SHYNI</t>
  </si>
  <si>
    <t>WILLIAMSON, LAVATRIA</t>
  </si>
  <si>
    <t>MANKEY, SAMANTHA</t>
  </si>
  <si>
    <t>MCDONALD, DONALD</t>
  </si>
  <si>
    <t>MONTGOMERY, BYRON</t>
  </si>
  <si>
    <t>WALKER, WILLIAM</t>
  </si>
  <si>
    <t>CHAMBERS, MELISSA</t>
  </si>
  <si>
    <t>MORGAN, EMILY</t>
  </si>
  <si>
    <t>NAIL, REBECCA</t>
  </si>
  <si>
    <t>PINTADO, AMY</t>
  </si>
  <si>
    <t>FARMER, HEAVEN</t>
  </si>
  <si>
    <t>SCALLION, BENNI</t>
  </si>
  <si>
    <t>LILLY, CASSADY</t>
  </si>
  <si>
    <t>SIMON, KEVIE</t>
  </si>
  <si>
    <t>SLATTON, ANNA</t>
  </si>
  <si>
    <t>License Revoked</t>
  </si>
  <si>
    <t>SHELDON, ELIZABETH</t>
  </si>
  <si>
    <t>SMITH, AMBER</t>
  </si>
  <si>
    <t>PITTMAN, DEBRA</t>
  </si>
  <si>
    <t>SLEPPY, SARAH</t>
  </si>
  <si>
    <t>CLEMENTS, HERMAN</t>
  </si>
  <si>
    <t>WITHERINGTON, BRENT</t>
  </si>
  <si>
    <t>BAKER, EBONY</t>
  </si>
  <si>
    <t>OBREGON, FABIOLA</t>
  </si>
  <si>
    <t>KIMBERLIN, BRENNAN</t>
  </si>
  <si>
    <t>STANLEY, JAMES</t>
  </si>
  <si>
    <t>TYLER, SUSAN</t>
  </si>
  <si>
    <t>WELLS, ANNA</t>
  </si>
  <si>
    <t>BENNETT, JESSICA</t>
  </si>
  <si>
    <t>MCSPADDEN, WHITNEY</t>
  </si>
  <si>
    <t>HOSSAIN, MAHMOOD</t>
  </si>
  <si>
    <t>TANKERSLEY, BRIAN</t>
  </si>
  <si>
    <t>ELLIOTT, NAOMI</t>
  </si>
  <si>
    <t>KORY, STEVEN</t>
  </si>
  <si>
    <t>GUTHRIE, SHARON</t>
  </si>
  <si>
    <t>WIGGINS, KELSEY</t>
  </si>
  <si>
    <t>STEWART, MELISSA</t>
  </si>
  <si>
    <t>HOLLAND, TESHA</t>
  </si>
  <si>
    <t>BRECKENRIDGE, SHEENA</t>
  </si>
  <si>
    <t>SAINI, TEJINDER</t>
  </si>
  <si>
    <t>GIBSON, GEOFF</t>
  </si>
  <si>
    <t>MALONE, COURTNEY</t>
  </si>
  <si>
    <t>STOVER, SHAWNA</t>
  </si>
  <si>
    <t>GRAVES, JAMES</t>
  </si>
  <si>
    <t>WALDEN, THOMAS</t>
  </si>
  <si>
    <t>HUKRIEDE, JOHN</t>
  </si>
  <si>
    <t>SPEARS, MARK</t>
  </si>
  <si>
    <t>BULICE, KASHA</t>
  </si>
  <si>
    <t>MCCUISTION, EMILY</t>
  </si>
  <si>
    <t>CLARK, KYNDAL</t>
  </si>
  <si>
    <t>KONNESKY, MARY</t>
  </si>
  <si>
    <t>GRAY, DEIDRE</t>
  </si>
  <si>
    <t>PERSENAIRE, ADAM</t>
  </si>
  <si>
    <t>HAAS, DAVID</t>
  </si>
  <si>
    <t>INMAN, ARIEL</t>
  </si>
  <si>
    <t>WATTS, SARAH</t>
  </si>
  <si>
    <t>MORGAN, MONICA</t>
  </si>
  <si>
    <t>BARKER, ALANA</t>
  </si>
  <si>
    <t>VASSAR, CODIE</t>
  </si>
  <si>
    <t>HALE, NATONYA</t>
  </si>
  <si>
    <t>CRAWFORD, JESSICA</t>
  </si>
  <si>
    <t>DENNIS, MICHAEL</t>
  </si>
  <si>
    <t>SCHRAEDER, KERA</t>
  </si>
  <si>
    <t>YOUNG, RACHEL</t>
  </si>
  <si>
    <t>WRINKLES, BROCK</t>
  </si>
  <si>
    <t>WILLIAMS, JASON</t>
  </si>
  <si>
    <t>HAWKINS, CHARLEY</t>
  </si>
  <si>
    <t>BAREMORE, AMY</t>
  </si>
  <si>
    <t>MANNING, JORDYN</t>
  </si>
  <si>
    <t>BROSNAN, PAULA</t>
  </si>
  <si>
    <t>SCHULTE, EMILY</t>
  </si>
  <si>
    <t>FORREST, ROBERT</t>
  </si>
  <si>
    <t>JONES, SARA</t>
  </si>
  <si>
    <t>COMFORT, AMANDA</t>
  </si>
  <si>
    <t>FRANKLIN, DIANA</t>
  </si>
  <si>
    <t>WRIGHT-LITTLE, TOMEKA</t>
  </si>
  <si>
    <t>LAURENCELLE, MATTHEW</t>
  </si>
  <si>
    <t>ROSNERMANZ, HAYLEY</t>
  </si>
  <si>
    <t>BEAUFFORD, LAURA</t>
  </si>
  <si>
    <t>STIPP, SIERRA</t>
  </si>
  <si>
    <t>KUBACAK, BRIAN</t>
  </si>
  <si>
    <t>WHITE, TONY</t>
  </si>
  <si>
    <t>FERNANDEZ, ALEXANDRA</t>
  </si>
  <si>
    <t>RAMSEY, MOLLY</t>
  </si>
  <si>
    <t>BUNNER, FRANK</t>
  </si>
  <si>
    <t>LESLIE, ANIKA</t>
  </si>
  <si>
    <t>DUNCAN, DEALLA</t>
  </si>
  <si>
    <t>WALKER, KAREN</t>
  </si>
  <si>
    <t>ELLIS, LEIGH ANN</t>
  </si>
  <si>
    <t>BOOKER, AMY</t>
  </si>
  <si>
    <t>POTTS, NICOLE</t>
  </si>
  <si>
    <t>OVERLEY, LACY</t>
  </si>
  <si>
    <t>PITTS, TEKIMA</t>
  </si>
  <si>
    <t>RHODES, KIMBERLY</t>
  </si>
  <si>
    <t>BAKER, SAVANNAH</t>
  </si>
  <si>
    <t>CLARK, DEBBIE</t>
  </si>
  <si>
    <t>Active network practitioner, New provider</t>
  </si>
  <si>
    <t>ZAHN, CHLOE</t>
  </si>
  <si>
    <t>GORDON, KRISSA</t>
  </si>
  <si>
    <t>HUGHES, KAYLA</t>
  </si>
  <si>
    <t>BRANCH, CHASEY</t>
  </si>
  <si>
    <t>STILLWELL, WHITNEY</t>
  </si>
  <si>
    <t>COLEMAN, VALISYA</t>
  </si>
  <si>
    <t>JONES, KIMBERLY</t>
  </si>
  <si>
    <t>BALSARA, CHARMI</t>
  </si>
  <si>
    <t>WOLFE, JORDYN</t>
  </si>
  <si>
    <t>KEY, MELISSA</t>
  </si>
  <si>
    <t>BROOKS, CRYSTAL</t>
  </si>
  <si>
    <t>LEFLORE, LATISSHA</t>
  </si>
  <si>
    <t>MARTIN, KRISTIN</t>
  </si>
  <si>
    <t>WILSON, CHRISTINE</t>
  </si>
  <si>
    <t>LIEURANCE, JENEE</t>
  </si>
  <si>
    <t>HERZBERG, MIRIAM</t>
  </si>
  <si>
    <t>RUNSHE, STEPHANIE</t>
  </si>
  <si>
    <t>ALLBRIGHT, MELISSA</t>
  </si>
  <si>
    <t>BARTROW, CANDACE</t>
  </si>
  <si>
    <t>MAYBURY, MELISSA</t>
  </si>
  <si>
    <t>MACON, MARY</t>
  </si>
  <si>
    <t>MARTIN, HALEY</t>
  </si>
  <si>
    <t>LEWIS, JANET</t>
  </si>
  <si>
    <t>ONLY, RONALD</t>
  </si>
  <si>
    <t>RICHISON, ABIGAIL</t>
  </si>
  <si>
    <t>BAKER, VICKY</t>
  </si>
  <si>
    <t>CHAMBERS, TONYA</t>
  </si>
  <si>
    <t>BAILEY, CLAYTON</t>
  </si>
  <si>
    <t>HERTLEIN, KIMBERLY</t>
  </si>
  <si>
    <t>SIRISENA, MALI</t>
  </si>
  <si>
    <t>BAKER, LACEY</t>
  </si>
  <si>
    <t>CODAY, MATHILDA</t>
  </si>
  <si>
    <t>HILL, PAUL</t>
  </si>
  <si>
    <t>CONLEY-OLSEN, LAURA</t>
  </si>
  <si>
    <t>PEARSON, CATHERINE</t>
  </si>
  <si>
    <t>MARTIN, TRACIE</t>
  </si>
  <si>
    <t>SCHAFER, JULIE</t>
  </si>
  <si>
    <t>TONKIN, DAVID</t>
  </si>
  <si>
    <t>SANGHERA, ALEXIS</t>
  </si>
  <si>
    <t>COFFEY, MEAGAN</t>
  </si>
  <si>
    <t>BALTAZAR, DESIREE</t>
  </si>
  <si>
    <t>SMITH, NANCY</t>
  </si>
  <si>
    <t>WEST, GRETCHAN</t>
  </si>
  <si>
    <t>SIMMONS, HEATHER</t>
  </si>
  <si>
    <t>FAIRMON-HILL, ASCHA</t>
  </si>
  <si>
    <t>MAPES, CRYSTAL</t>
  </si>
  <si>
    <t>PANG, JIM</t>
  </si>
  <si>
    <t>STEPHENS, TONI</t>
  </si>
  <si>
    <t>MARTIN, AMANDA</t>
  </si>
  <si>
    <t>GAGE, ALLISON</t>
  </si>
  <si>
    <t>LIOR, KEERIN</t>
  </si>
  <si>
    <t>WALDEN, VICTORIA</t>
  </si>
  <si>
    <t>KINDER, JULIE</t>
  </si>
  <si>
    <t>WAUTERS, RONALD</t>
  </si>
  <si>
    <t>TANNEHILL, RHONDA</t>
  </si>
  <si>
    <t>LADUKE, TORI</t>
  </si>
  <si>
    <t>BROOKS, KARA</t>
  </si>
  <si>
    <t>GANNOE, KRISTIN</t>
  </si>
  <si>
    <t>ANDREWS, LAUREN</t>
  </si>
  <si>
    <t>HICKS, DANIELLE</t>
  </si>
  <si>
    <t>OSTENDORF, ERICA</t>
  </si>
  <si>
    <t>SUNDERMANN, RICHARD</t>
  </si>
  <si>
    <t>GRIFFIS, HOLLY</t>
  </si>
  <si>
    <t>BROOKS, DELISA</t>
  </si>
  <si>
    <t>HALL, RACHEAL</t>
  </si>
  <si>
    <t>NGUYEN, MICHELLE</t>
  </si>
  <si>
    <t>DEBERNARD, CHRISTOPHER</t>
  </si>
  <si>
    <t>SLATON, CHAYLA</t>
  </si>
  <si>
    <t>CORCORAN, MARLA</t>
  </si>
  <si>
    <t>SHEAGREN, PAULETTE</t>
  </si>
  <si>
    <t>ALLEN, GARRY</t>
  </si>
  <si>
    <t>ELDRIDGE, CHARLES</t>
  </si>
  <si>
    <t>POWERS, STEPHEN</t>
  </si>
  <si>
    <t>TALLEY, CALLIE</t>
  </si>
  <si>
    <t>LONG, KATHERINE</t>
  </si>
  <si>
    <t>PAXSON, KATELYN</t>
  </si>
  <si>
    <t>HOLLIS, EMILY</t>
  </si>
  <si>
    <t>TALBURT, HANNA</t>
  </si>
  <si>
    <t>GARIX, NICOLE</t>
  </si>
  <si>
    <t>VEGA, FRANCISCO</t>
  </si>
  <si>
    <t>JONES, LAURA</t>
  </si>
  <si>
    <t>SANDIDGE, YALAUNDA</t>
  </si>
  <si>
    <t>BAILEY, KIRSTIE</t>
  </si>
  <si>
    <t>MADANI, HANAA</t>
  </si>
  <si>
    <t>SMITH, LESLIE</t>
  </si>
  <si>
    <t>BULDRA, TAYLOR</t>
  </si>
  <si>
    <t>BURNETT, ALLEN</t>
  </si>
  <si>
    <t>LANKFORD, RACHEL</t>
  </si>
  <si>
    <t>BOYD, DANIEL</t>
  </si>
  <si>
    <t>GLENN, ROBERT</t>
  </si>
  <si>
    <t>MOORE, LENREYAH</t>
  </si>
  <si>
    <t>WITCHER, CRAIG</t>
  </si>
  <si>
    <t>RUSHING, COURTNEY</t>
  </si>
  <si>
    <t>HEINL, BRIELLE</t>
  </si>
  <si>
    <t>MILLS, STACIE</t>
  </si>
  <si>
    <t>VYAS, SANKET</t>
  </si>
  <si>
    <t>VAUGHAN, KRYSTYN</t>
  </si>
  <si>
    <t>DIAZ, PAMELA</t>
  </si>
  <si>
    <t>PARKS, JAMES</t>
  </si>
  <si>
    <t>TAJ, NAUMAN</t>
  </si>
  <si>
    <t>MADDOX, MADISON</t>
  </si>
  <si>
    <t>FLYNN, ALYSSA</t>
  </si>
  <si>
    <t>NORWOOD, BOBBY</t>
  </si>
  <si>
    <t>GAGE, RACHEL</t>
  </si>
  <si>
    <t>PRESTON, CHRISTINE</t>
  </si>
  <si>
    <t>MILLER, KACI</t>
  </si>
  <si>
    <t>OSBORN, ADRIAN</t>
  </si>
  <si>
    <t>STILES, SHARLA</t>
  </si>
  <si>
    <t>CARPENTER, CYNTHIA</t>
  </si>
  <si>
    <t>HENRY, MELANIE</t>
  </si>
  <si>
    <t>SMITH, AMANDA</t>
  </si>
  <si>
    <t>GAY, UATCHET</t>
  </si>
  <si>
    <t>IMBODEN, KEELY</t>
  </si>
  <si>
    <t>WARHURST, LORI</t>
  </si>
  <si>
    <t>FLAKE, KESSIA</t>
  </si>
  <si>
    <t>BEAMON, KRISTY</t>
  </si>
  <si>
    <t>WHITE, WESLEY</t>
  </si>
  <si>
    <t>MANNEY, SUSANNAH</t>
  </si>
  <si>
    <t>CARPENTER, KAREN</t>
  </si>
  <si>
    <t>VILLINES, REAGAN</t>
  </si>
  <si>
    <t>DORCH, BAILEY</t>
  </si>
  <si>
    <t>BOJIE, SARA</t>
  </si>
  <si>
    <t>PALERMO, BRITTANY</t>
  </si>
  <si>
    <t>PIAZZA, CATHERINE</t>
  </si>
  <si>
    <t>CALOHAN, JESS</t>
  </si>
  <si>
    <t>P034</t>
  </si>
  <si>
    <t>Physical Medicine and Rehabilitation</t>
  </si>
  <si>
    <t>BISE, CYGNET</t>
  </si>
  <si>
    <t>JACOBELLI, DOMINIC</t>
  </si>
  <si>
    <t>CANNON, DOUGLAS</t>
  </si>
  <si>
    <t>HOBART-PORTER, LAURA</t>
  </si>
  <si>
    <t>MOSSALLATI, ADAM</t>
  </si>
  <si>
    <t>CRIDER, NATHANIEL</t>
  </si>
  <si>
    <t>ALEXANDER, CHRISTINE</t>
  </si>
  <si>
    <t>ESTES, JOSHUA</t>
  </si>
  <si>
    <t>VERMA, VIRENDAR</t>
  </si>
  <si>
    <t>KOUTZEVA-DUSSEL, TOTKA</t>
  </si>
  <si>
    <t>OSMAN, OMAR</t>
  </si>
  <si>
    <t>ZAREEN, NASIR</t>
  </si>
  <si>
    <t>GENTRY, CAROLYN</t>
  </si>
  <si>
    <t>P035</t>
  </si>
  <si>
    <t>Physical Therapy</t>
  </si>
  <si>
    <t>HULETT, KEVIN</t>
  </si>
  <si>
    <t>MITCHELL, MACKENZIE</t>
  </si>
  <si>
    <t>LANE, DENISE</t>
  </si>
  <si>
    <t>MOORE, STEPHEN</t>
  </si>
  <si>
    <t>HIBBS, JENNETTE</t>
  </si>
  <si>
    <t>PRATHER, CLIFF</t>
  </si>
  <si>
    <t>COLLINS, MARY</t>
  </si>
  <si>
    <t>JACKSON, MORGAN</t>
  </si>
  <si>
    <t>WAGNER, ETHAN</t>
  </si>
  <si>
    <t>HOLLAND, SAMUEL</t>
  </si>
  <si>
    <t>LOWDER, LISA</t>
  </si>
  <si>
    <t>COURVILLE, ADAM</t>
  </si>
  <si>
    <t>LAWRENCE, SYDNEY</t>
  </si>
  <si>
    <t>MASSEY, ALISHA</t>
  </si>
  <si>
    <t>COKER, ALLYSON</t>
  </si>
  <si>
    <t>PARKER, ALIX</t>
  </si>
  <si>
    <t>JACKSON, KENLEY</t>
  </si>
  <si>
    <t>HEARN, STEPHEN</t>
  </si>
  <si>
    <t>GORDON, KATLYN</t>
  </si>
  <si>
    <t>REDDEN, RHIANNA</t>
  </si>
  <si>
    <t>GRIFFIN, MARYCLAIRE</t>
  </si>
  <si>
    <t>VILLA, VITO</t>
  </si>
  <si>
    <t>BRADY, JESSICA</t>
  </si>
  <si>
    <t>LOGAN, HUNTER</t>
  </si>
  <si>
    <t>SKIERSKI, DANIEL</t>
  </si>
  <si>
    <t>BAKER, RACHEL</t>
  </si>
  <si>
    <t>SPAGNOLO, ALISON</t>
  </si>
  <si>
    <t>MORRIS, SHELBY</t>
  </si>
  <si>
    <t>WRIGHT, JAMES</t>
  </si>
  <si>
    <t>VANG, NURIENA</t>
  </si>
  <si>
    <t>JOHNSON, CARA</t>
  </si>
  <si>
    <t>LAMB, NORAIDA</t>
  </si>
  <si>
    <t>HARTIS, KOBY</t>
  </si>
  <si>
    <t>GLENN, SYDNEY</t>
  </si>
  <si>
    <t>KEEN, KATHRYN</t>
  </si>
  <si>
    <t>CORCORAN, ASHLEY</t>
  </si>
  <si>
    <t>BELDEN, JENNIFER</t>
  </si>
  <si>
    <t>DICKESON, ETHAN</t>
  </si>
  <si>
    <t>RANKIN, CASSADY</t>
  </si>
  <si>
    <t>OLIVER, SYDNEY</t>
  </si>
  <si>
    <t>HOPPER, LEA</t>
  </si>
  <si>
    <t>MCCLAIN, ASHLEY</t>
  </si>
  <si>
    <t>KIGHT, KINZIE</t>
  </si>
  <si>
    <t>ODOM, JEANNE</t>
  </si>
  <si>
    <t>GOOLSBY, CHRISTIAN</t>
  </si>
  <si>
    <t>WAGNER, MCKENNA</t>
  </si>
  <si>
    <t>NEWMAN, WILLIAM</t>
  </si>
  <si>
    <t>PHILLIPS, CRISTY</t>
  </si>
  <si>
    <t>WALKER, EMILY</t>
  </si>
  <si>
    <t>ROBERSON, ROBERT</t>
  </si>
  <si>
    <t>SUBLETT, LUISA</t>
  </si>
  <si>
    <t>BENNETT, AMANDA</t>
  </si>
  <si>
    <t>PATEL, ARTI</t>
  </si>
  <si>
    <t>RAGO, JOHN</t>
  </si>
  <si>
    <t>JIMENEZ, AMANDA</t>
  </si>
  <si>
    <t>TEUSCHL, KRISTEN</t>
  </si>
  <si>
    <t>PRINCE, JILLIAN</t>
  </si>
  <si>
    <t>WEST, AMANDA</t>
  </si>
  <si>
    <t>BALLARD, JOSHUA</t>
  </si>
  <si>
    <t>KINSER, SYDNEY</t>
  </si>
  <si>
    <t>WELD, KATHERINE</t>
  </si>
  <si>
    <t>ASHBY, JASON</t>
  </si>
  <si>
    <t>SU, LINDA</t>
  </si>
  <si>
    <t>LAGRUTTA, ALEX</t>
  </si>
  <si>
    <t>GLOVER, AMANDA</t>
  </si>
  <si>
    <t>JONES, DEREK</t>
  </si>
  <si>
    <t>ROSS, RUTH</t>
  </si>
  <si>
    <t>HATCHER, JASON</t>
  </si>
  <si>
    <t>QUESNELL, DANIELLE</t>
  </si>
  <si>
    <t>DORSEY, SARAH</t>
  </si>
  <si>
    <t>MYERS, BRIAN</t>
  </si>
  <si>
    <t>HENDRIX, TAYLOR</t>
  </si>
  <si>
    <t>BUCHANAN, LEA</t>
  </si>
  <si>
    <t>CONNOLLY, MICHELLE</t>
  </si>
  <si>
    <t>AITKEN, BRENDON</t>
  </si>
  <si>
    <t>PETERS, CHARLOTTE</t>
  </si>
  <si>
    <t>BLACK, REECE</t>
  </si>
  <si>
    <t>PENNINGTON, MICHAEL</t>
  </si>
  <si>
    <t>AGEE, SAVANNAH</t>
  </si>
  <si>
    <t>CLARK, JESSICA</t>
  </si>
  <si>
    <t>COOPER, ADRIAN</t>
  </si>
  <si>
    <t>BARBER, BRAXTON</t>
  </si>
  <si>
    <t>MORELAND, NATALIE</t>
  </si>
  <si>
    <t>P036</t>
  </si>
  <si>
    <t>Plastic Surgery</t>
  </si>
  <si>
    <t>ALLEN, SHARAN</t>
  </si>
  <si>
    <t>CASHMAN, STEPHEN</t>
  </si>
  <si>
    <t>HIERS, CONNIE</t>
  </si>
  <si>
    <t>HENRY, ARTANGELA</t>
  </si>
  <si>
    <t>GUISE-MCDONOUGH, AMANDA</t>
  </si>
  <si>
    <t>WILLENBERG, TIFFANY</t>
  </si>
  <si>
    <t>FORD, MARCIA</t>
  </si>
  <si>
    <t>YEE, SUZANNE</t>
  </si>
  <si>
    <t>DOUGHERTY, CHRISTOPHER</t>
  </si>
  <si>
    <t>OGHINA, OKEYO</t>
  </si>
  <si>
    <t>BAKER, DAVID</t>
  </si>
  <si>
    <t>BANNISTER, ANNE</t>
  </si>
  <si>
    <t>FRY, CONSTANCE</t>
  </si>
  <si>
    <t>MAZANDER, JOANNE</t>
  </si>
  <si>
    <t>BUTLER, MONTE</t>
  </si>
  <si>
    <t>MINKIN, PATTON</t>
  </si>
  <si>
    <t>QUICK, DONNY</t>
  </si>
  <si>
    <t>SARNA, THOMAS</t>
  </si>
  <si>
    <t>SEELINGER, PAYTON</t>
  </si>
  <si>
    <t>LEWIS, PAUL</t>
  </si>
  <si>
    <t>MARSH, DAVID</t>
  </si>
  <si>
    <t>WOODARD, ERNEST</t>
  </si>
  <si>
    <t>HEYMANN, HANS</t>
  </si>
  <si>
    <t>LARSON, MICHAEL</t>
  </si>
  <si>
    <t>JING, XI LIN</t>
  </si>
  <si>
    <t>PIATKOWSKI, KURT</t>
  </si>
  <si>
    <t>MCALLISTER, CHASIDY</t>
  </si>
  <si>
    <t>JOHNSON, JORDAN</t>
  </si>
  <si>
    <t>EMMETT, SUSAN</t>
  </si>
  <si>
    <t>HOUSLEY, MELISSA</t>
  </si>
  <si>
    <t>DARLING, BRYAN</t>
  </si>
  <si>
    <t>SKOCH, STEVEN</t>
  </si>
  <si>
    <t>SHARMA, ANEET</t>
  </si>
  <si>
    <t>REILLY, DEBRA</t>
  </si>
  <si>
    <t>ROBERTS, DREW</t>
  </si>
  <si>
    <t>PANICO, EMMA</t>
  </si>
  <si>
    <t>KINCANNON, LAUREN</t>
  </si>
  <si>
    <t>WINELAND, ANDRE</t>
  </si>
  <si>
    <t>BELANGER, ROBINA</t>
  </si>
  <si>
    <t>Provider is a cardiothoracic surgeon, not plastic. https://uamshealth.com/provider/mark-o-hardin/</t>
  </si>
  <si>
    <t>REMERSCHEID, JAMES</t>
  </si>
  <si>
    <t>CROSS, JOSHUA</t>
  </si>
  <si>
    <t>HOLLOWAY, RICHARD</t>
  </si>
  <si>
    <t>ALVAREZ, SONIA</t>
  </si>
  <si>
    <t>MCDONALD, ROBERT</t>
  </si>
  <si>
    <t>P037</t>
  </si>
  <si>
    <t>Podiatry</t>
  </si>
  <si>
    <t>LEMON, SARAH</t>
  </si>
  <si>
    <t>HERRELL, RACHEL</t>
  </si>
  <si>
    <t>KYLE, GARRETT</t>
  </si>
  <si>
    <t>SHEPARD, ASHLEY</t>
  </si>
  <si>
    <t>WILLIAMS, GIA</t>
  </si>
  <si>
    <t>ENGLAND, HALLIE</t>
  </si>
  <si>
    <t>STAUDER, RACHAEL</t>
  </si>
  <si>
    <t>DEBOOSERIE, ALLISON</t>
  </si>
  <si>
    <t>DANNER, CRYSTAL</t>
  </si>
  <si>
    <t>HAULCROFT, ALYSSA</t>
  </si>
  <si>
    <t>RUSSELL, SARAH</t>
  </si>
  <si>
    <t>BRYANT, LINDSEY</t>
  </si>
  <si>
    <t>BREWER, OCEAN</t>
  </si>
  <si>
    <t>COX, KENDALL</t>
  </si>
  <si>
    <t>MOSER, STEPHANIE</t>
  </si>
  <si>
    <t>PEEK, KRISTEN</t>
  </si>
  <si>
    <t>JOHNSON, KRISTINE</t>
  </si>
  <si>
    <t>HOWE, KOLTON</t>
  </si>
  <si>
    <t>LOVELL, ZACHARY</t>
  </si>
  <si>
    <t>TORREY, LARHONDA</t>
  </si>
  <si>
    <t>WISDOM, MALLORY</t>
  </si>
  <si>
    <t>DABBS, JENNIFER</t>
  </si>
  <si>
    <t>HELLOMS, LADANA</t>
  </si>
  <si>
    <t>BROOKS, AMANDA</t>
  </si>
  <si>
    <t>DOWELL, KATIE</t>
  </si>
  <si>
    <t>DANIEL, KARIA</t>
  </si>
  <si>
    <t>HOSKINS, LASONDA</t>
  </si>
  <si>
    <t>LUCIUS, HAILEY</t>
  </si>
  <si>
    <t>SALAZAR, ANA</t>
  </si>
  <si>
    <t>UREN, KEVIN</t>
  </si>
  <si>
    <t>NOSLER, JAMIE</t>
  </si>
  <si>
    <t>CROWELL, CASSANDRA</t>
  </si>
  <si>
    <t>MCCLANAHAN, KAYLA</t>
  </si>
  <si>
    <t>FOWLER, CAITLIN</t>
  </si>
  <si>
    <t>DRAKE, JANA</t>
  </si>
  <si>
    <t>PATE, TARA</t>
  </si>
  <si>
    <t>SILLS, JOY</t>
  </si>
  <si>
    <t>ESTES, MERCEDES</t>
  </si>
  <si>
    <t>VANG, KASHIA</t>
  </si>
  <si>
    <t>THRONE, ANDREW</t>
  </si>
  <si>
    <t>MCCOOK, PAIGE</t>
  </si>
  <si>
    <t>YODER, NICOLE</t>
  </si>
  <si>
    <t>LONG, MICHAELA</t>
  </si>
  <si>
    <t>COLLIER, PRISCILLA</t>
  </si>
  <si>
    <t>BROWN, LELA</t>
  </si>
  <si>
    <t>WATERS, CAITLIN</t>
  </si>
  <si>
    <t>KEY, HEATHER</t>
  </si>
  <si>
    <t>MCGUIRE, GABRIEL</t>
  </si>
  <si>
    <t>HARMON, MATTHEW</t>
  </si>
  <si>
    <t>LANGSTER, HOLLY</t>
  </si>
  <si>
    <t>CHAVERS, MADISON</t>
  </si>
  <si>
    <t>ELDER, JESSICA</t>
  </si>
  <si>
    <t>HENDERSON, CATHERINE</t>
  </si>
  <si>
    <t>HANSON, SHELBY</t>
  </si>
  <si>
    <t>VOGEL, JONALEE</t>
  </si>
  <si>
    <t>P038</t>
  </si>
  <si>
    <t>Primary Care – Adult</t>
  </si>
  <si>
    <t>MAY, WALKER</t>
  </si>
  <si>
    <t>DILLINGHAM, JUSTIN</t>
  </si>
  <si>
    <t>BOGART, JOY</t>
  </si>
  <si>
    <t>WREDLING, SARAH</t>
  </si>
  <si>
    <t>HOYT, LAWRENCE</t>
  </si>
  <si>
    <t>MONTAGUE, ALLISON</t>
  </si>
  <si>
    <t>HAZAA, ALSHAIMAA</t>
  </si>
  <si>
    <t>FISER, ELIZABETH</t>
  </si>
  <si>
    <t>BROWN, AMY</t>
  </si>
  <si>
    <t>GRAY, MARINA</t>
  </si>
  <si>
    <t>LUSTER, ERIC</t>
  </si>
  <si>
    <t>HERRING, TARA</t>
  </si>
  <si>
    <t>JOHNSON, RAESHAUNA</t>
  </si>
  <si>
    <t>RILEY, TIFFANY</t>
  </si>
  <si>
    <t>DIPONIO, RUSSELL</t>
  </si>
  <si>
    <t>PRASAD, SUDHA</t>
  </si>
  <si>
    <t>BOYETTE, KRISTINA</t>
  </si>
  <si>
    <t>DUDAR, AMAL</t>
  </si>
  <si>
    <t>LANE, WESLEY</t>
  </si>
  <si>
    <t>RANGANATH, HARSHA</t>
  </si>
  <si>
    <t>MCCORMACK, CARL</t>
  </si>
  <si>
    <t>BARBER, KEVIN</t>
  </si>
  <si>
    <t>GOODMAN, AMBER</t>
  </si>
  <si>
    <t>GARNER, DEENA</t>
  </si>
  <si>
    <t>YANCEY, JUSTIN</t>
  </si>
  <si>
    <t>ROBERTSON, CHANDLER</t>
  </si>
  <si>
    <t>ISKA, SINDU</t>
  </si>
  <si>
    <t>LYNCH, KERRI</t>
  </si>
  <si>
    <t>STROTHKAMP, CASSANDRA</t>
  </si>
  <si>
    <t>ELKINS, MICHAEL</t>
  </si>
  <si>
    <t>BENNETT, KATHERINE</t>
  </si>
  <si>
    <t>STILES, ALLISON</t>
  </si>
  <si>
    <t>LOZANO, JOSE</t>
  </si>
  <si>
    <t>WEST, DEBRA</t>
  </si>
  <si>
    <t>BAGGETT-WOODARD, DEBRA</t>
  </si>
  <si>
    <t>OPINALDO, PHILMA</t>
  </si>
  <si>
    <t>SIMPSON, MARY</t>
  </si>
  <si>
    <t>GUSTAFSON, ERIC</t>
  </si>
  <si>
    <t>MCCLINTON, ERNEST</t>
  </si>
  <si>
    <t>FLOYD, JANELLE</t>
  </si>
  <si>
    <t>RAY, HANNAH</t>
  </si>
  <si>
    <t>REILLY, LAUREN</t>
  </si>
  <si>
    <t>THAPA, PRIYENKA</t>
  </si>
  <si>
    <t>SHARPE, CATHERINE</t>
  </si>
  <si>
    <t>SHAH, SHAN</t>
  </si>
  <si>
    <t>BEAR, MATTHEW</t>
  </si>
  <si>
    <t>BROWN, JILL</t>
  </si>
  <si>
    <t>CAUSEY, ROBERT</t>
  </si>
  <si>
    <t>POWELL, ANDREW</t>
  </si>
  <si>
    <t>KUMAR, KAWEETA</t>
  </si>
  <si>
    <t>ROTH, WILLIAM</t>
  </si>
  <si>
    <t>RECINE, NICOLE</t>
  </si>
  <si>
    <t>KHAN, AMINA</t>
  </si>
  <si>
    <t>DALE, GRACEN</t>
  </si>
  <si>
    <t>STEWART, ADLEY</t>
  </si>
  <si>
    <t>DOUGHERTY, LAUREN</t>
  </si>
  <si>
    <t>LEDBETTER, HALEY</t>
  </si>
  <si>
    <t>LYONS, HANNAH</t>
  </si>
  <si>
    <t>WILLIS, PAYTON</t>
  </si>
  <si>
    <t>TERRY, PAMALA</t>
  </si>
  <si>
    <t>WARR, OTIS</t>
  </si>
  <si>
    <t>AFROZE, ANEES</t>
  </si>
  <si>
    <t>LOMBEIDA, JUAN</t>
  </si>
  <si>
    <t>SMITH-CRASE, MARY</t>
  </si>
  <si>
    <t>KARKI, KANTEE</t>
  </si>
  <si>
    <t>HUANG, ADAM</t>
  </si>
  <si>
    <t>JENKS, CASSANDRA</t>
  </si>
  <si>
    <t>SASS, ERIC</t>
  </si>
  <si>
    <t>NEWMON, DOMECIA</t>
  </si>
  <si>
    <t>JABALY, NASTASYA</t>
  </si>
  <si>
    <t>ANDREWS, JASON</t>
  </si>
  <si>
    <t>KHAN, MUHAMMAD OMAR</t>
  </si>
  <si>
    <t>ALLEN-JONES, NEDRA</t>
  </si>
  <si>
    <t>ASCENCIO, SARAH</t>
  </si>
  <si>
    <t>LONG, GRACE</t>
  </si>
  <si>
    <t>HAMID, SYED</t>
  </si>
  <si>
    <t>DELUCA, RUSSELL</t>
  </si>
  <si>
    <t>STURDIVANT, JOSEPH</t>
  </si>
  <si>
    <t>TRACY, NEIL</t>
  </si>
  <si>
    <t>RAJAGOPAL, MANIKANDAN</t>
  </si>
  <si>
    <t>THAO, CHOUA</t>
  </si>
  <si>
    <t>DATAR, PRAVEEN</t>
  </si>
  <si>
    <t>BRADLEY, CALLIE</t>
  </si>
  <si>
    <t>MARSDEN, SHANNON</t>
  </si>
  <si>
    <t>MARSHALL, ANGELA</t>
  </si>
  <si>
    <t>BASKARAN, JANANI</t>
  </si>
  <si>
    <t>BESETT, KELSEY</t>
  </si>
  <si>
    <t>BALDAWI, MUAAMAR</t>
  </si>
  <si>
    <t>MOHSIN, SANA</t>
  </si>
  <si>
    <t>SMITH, ALLISON</t>
  </si>
  <si>
    <t>KENNEDY, DANIELLE</t>
  </si>
  <si>
    <t>JOHNSON, JOANNE</t>
  </si>
  <si>
    <t>MCLEMORE, NICOLE</t>
  </si>
  <si>
    <t>SPRINGFIELD, SHA'RODA</t>
  </si>
  <si>
    <t>JOSHUA, SUDHIR</t>
  </si>
  <si>
    <t>COOK, BUFFY</t>
  </si>
  <si>
    <t>SIMON, LLEWELLYN</t>
  </si>
  <si>
    <t>COX, BETHANY</t>
  </si>
  <si>
    <t>CAMPBELL, LAUREL</t>
  </si>
  <si>
    <t>BAKER, ANN MARIE</t>
  </si>
  <si>
    <t>MOORE, HEATHER</t>
  </si>
  <si>
    <t>ANDARCIA, VICTORIA</t>
  </si>
  <si>
    <t>FUNMAKER, ADRIANNE</t>
  </si>
  <si>
    <t>MACK, BRIAN</t>
  </si>
  <si>
    <t>DAVIS, SHAY</t>
  </si>
  <si>
    <t>WALKER, AMANDA</t>
  </si>
  <si>
    <t>SPARGO, TIFFANY</t>
  </si>
  <si>
    <t>SHEIKH, VALEID</t>
  </si>
  <si>
    <t>CHEEK, EMMA</t>
  </si>
  <si>
    <t>CALDWELL, INDIE</t>
  </si>
  <si>
    <t>SAM, RONALD</t>
  </si>
  <si>
    <t>ELKHEDER, ANAS</t>
  </si>
  <si>
    <t>HURT, CHRISTIE</t>
  </si>
  <si>
    <t>LEE, WINNIE</t>
  </si>
  <si>
    <t>BENBOW, ANDREW</t>
  </si>
  <si>
    <t>GORADIA, RITU</t>
  </si>
  <si>
    <t>PLUGGE, JOSEPH</t>
  </si>
  <si>
    <t>NDEBBIO, UTIBE</t>
  </si>
  <si>
    <t>HANCOCK, CHRISTOPHER</t>
  </si>
  <si>
    <t>HALL, JASMINE</t>
  </si>
  <si>
    <t>KIBBY, PAUL</t>
  </si>
  <si>
    <t>BRIDGER, GRAYSON</t>
  </si>
  <si>
    <t>HUDSON, STEPHEN</t>
  </si>
  <si>
    <t>CRABTREE, BRUCE</t>
  </si>
  <si>
    <t>PIERCE, BARRY</t>
  </si>
  <si>
    <t>QAYYUM, TAHIR</t>
  </si>
  <si>
    <t>POKHAREL, AAUSHMA</t>
  </si>
  <si>
    <t>DIVI, RAJA RAJESWARI</t>
  </si>
  <si>
    <t>FOWLER, CHRISTOPHER</t>
  </si>
  <si>
    <t>WASHINGTON, ANTHONY</t>
  </si>
  <si>
    <t>MEREDITH, KEVIN</t>
  </si>
  <si>
    <t>HUGHES, KRISTEN</t>
  </si>
  <si>
    <t>BLAIR, SARA</t>
  </si>
  <si>
    <t>ROGERS, NATHANIEL</t>
  </si>
  <si>
    <t>MCGHEE, VERA</t>
  </si>
  <si>
    <t>BRUTON, ALLISON</t>
  </si>
  <si>
    <t>LEE, LATONYA</t>
  </si>
  <si>
    <t>CRUZ, KATIE</t>
  </si>
  <si>
    <t>HALE, APRIL</t>
  </si>
  <si>
    <t>GILLESPIE, J</t>
  </si>
  <si>
    <t>JACKSON, ANNA</t>
  </si>
  <si>
    <t>TREJO, DANIEL</t>
  </si>
  <si>
    <t>STRONG, CLINT</t>
  </si>
  <si>
    <t>RADHAKRISHNAN, MUTHUKUMAR</t>
  </si>
  <si>
    <t>BAILEY, BRANDON</t>
  </si>
  <si>
    <t>COMEAUX, TOYNICKA</t>
  </si>
  <si>
    <t>AYECOCK, REBEKAH</t>
  </si>
  <si>
    <t>ALI, MARUF</t>
  </si>
  <si>
    <t>ITIKYALA, SATHISH KUMAR</t>
  </si>
  <si>
    <t>PATEL, PALAK</t>
  </si>
  <si>
    <t>JENKINS, DANIELLE</t>
  </si>
  <si>
    <t>DEAL, JOSHUA</t>
  </si>
  <si>
    <t>BOHANNON, STEPHANIE</t>
  </si>
  <si>
    <t>HALL, CHANNING</t>
  </si>
  <si>
    <t>BILES, SYDNEY</t>
  </si>
  <si>
    <t>HARRALSTON, KENDRA</t>
  </si>
  <si>
    <t>HAGAMAN, MICHAEL</t>
  </si>
  <si>
    <t>HAMMOND, MICHAEL</t>
  </si>
  <si>
    <t>VALLURUPALLI, SRIKANTH</t>
  </si>
  <si>
    <t>ZEB, HASSAN</t>
  </si>
  <si>
    <t>SNYDER, KATE</t>
  </si>
  <si>
    <t>ALLEN, TANA</t>
  </si>
  <si>
    <t>ABDULMAJID, AHMAD</t>
  </si>
  <si>
    <t>BELIN, MICHAEL</t>
  </si>
  <si>
    <t>SAULSBERRY, LASHANDRA</t>
  </si>
  <si>
    <t>STUCKEY, JESSIE</t>
  </si>
  <si>
    <t>GUINN, CANDANCE</t>
  </si>
  <si>
    <t>WASKOM, EMMA</t>
  </si>
  <si>
    <t>FUNDERBURK MOCK, AMY</t>
  </si>
  <si>
    <t>FRASE, PRISCILLA</t>
  </si>
  <si>
    <t>CLEVELAND, KERRY</t>
  </si>
  <si>
    <t>HORAN, MARK</t>
  </si>
  <si>
    <t>SLAYTON, RICHARD</t>
  </si>
  <si>
    <t>SOLIMAN, FAISAL</t>
  </si>
  <si>
    <t>HALL, WHITNEY</t>
  </si>
  <si>
    <t>ALE, SHIRISHA</t>
  </si>
  <si>
    <t>BOSWELL, AARON</t>
  </si>
  <si>
    <t>METCALF, ANGELA</t>
  </si>
  <si>
    <t>HARTUNG, ALLISON</t>
  </si>
  <si>
    <t>LIVELY, WHITNEY</t>
  </si>
  <si>
    <t>VARLAS, PANTELHS</t>
  </si>
  <si>
    <t>MASRI, KAMAL</t>
  </si>
  <si>
    <t>CASSIDY, JOHN</t>
  </si>
  <si>
    <t>CLOUSER, CONNOR</t>
  </si>
  <si>
    <t>MAECHLER, ELIZABETH</t>
  </si>
  <si>
    <t>WOOD, JOHN</t>
  </si>
  <si>
    <t>COLE, ADAM</t>
  </si>
  <si>
    <t>RAINS, JESSICA</t>
  </si>
  <si>
    <t>POTTER, HILLARY-PAIGE</t>
  </si>
  <si>
    <t>FLOWERS, MAUREEN</t>
  </si>
  <si>
    <t>MOIX, MEGAN</t>
  </si>
  <si>
    <t>HERMECZ, LINDSAY</t>
  </si>
  <si>
    <t>HARDY, ELIZABETH</t>
  </si>
  <si>
    <t>COX, EMILY</t>
  </si>
  <si>
    <t>GREENE, MARCUS</t>
  </si>
  <si>
    <t>EASLEY, SETH</t>
  </si>
  <si>
    <t>SAMS, HEATHER</t>
  </si>
  <si>
    <t>SYED, NAYYAR</t>
  </si>
  <si>
    <t>JANSEN, PHILIP</t>
  </si>
  <si>
    <t>BAKER, JANA</t>
  </si>
  <si>
    <t>WILLIAMS, TINA</t>
  </si>
  <si>
    <t>JOWERS, ALLISON</t>
  </si>
  <si>
    <t>ANANTHA NARAYANAN, MAHESH</t>
  </si>
  <si>
    <t>BROWN, TASHINA</t>
  </si>
  <si>
    <t>CARR, JOHN</t>
  </si>
  <si>
    <t>KABEMBA TSHITENGE, SARAH</t>
  </si>
  <si>
    <t>MASHAL, FARES</t>
  </si>
  <si>
    <t>TABE, AGBORYA</t>
  </si>
  <si>
    <t>DIAS, DAVID</t>
  </si>
  <si>
    <t>HOWARD, SCOTT</t>
  </si>
  <si>
    <t>DARTY, ROSALINE</t>
  </si>
  <si>
    <t>JOHNSON, DARREN</t>
  </si>
  <si>
    <t>RASSOUL, KHALID</t>
  </si>
  <si>
    <t>KLEIN, TIMOTHY</t>
  </si>
  <si>
    <t>JOSHUA, JABBAR</t>
  </si>
  <si>
    <t>GUPTA, MALINI</t>
  </si>
  <si>
    <t>HERPICH, BYRON</t>
  </si>
  <si>
    <t>DAVIS, LYNN</t>
  </si>
  <si>
    <t>GOMEZ, ALBERTO</t>
  </si>
  <si>
    <t>MAJORS, LANCE</t>
  </si>
  <si>
    <t>AJANI, TOLULOPE</t>
  </si>
  <si>
    <t>OGUNSESAN, YETUNDE</t>
  </si>
  <si>
    <t>SUBEDI, SUBASH</t>
  </si>
  <si>
    <t>JOHNSON, NATHAN</t>
  </si>
  <si>
    <t>BINFORD, DANIEL</t>
  </si>
  <si>
    <t>SHAH, SYED SHEHERYAR AHMED</t>
  </si>
  <si>
    <t>MORGAN, SYDNIE</t>
  </si>
  <si>
    <t>GRANGER, JASMINE</t>
  </si>
  <si>
    <t>HENDERSON, LAQUINTHA</t>
  </si>
  <si>
    <t>MELIN, RICHARD</t>
  </si>
  <si>
    <t>HASTINGS, MARGARET</t>
  </si>
  <si>
    <t>VINSON, CHARLES</t>
  </si>
  <si>
    <t>BIBBY, CHARLES</t>
  </si>
  <si>
    <t>WILSON, MICHELLE</t>
  </si>
  <si>
    <t>SCHAFER, LISA</t>
  </si>
  <si>
    <t>CARTER, LISA</t>
  </si>
  <si>
    <t>STOCK, LAUREN</t>
  </si>
  <si>
    <t>CALCAGNI, MIKAILA</t>
  </si>
  <si>
    <t>SLATON, ARTHUR</t>
  </si>
  <si>
    <t>AL-SABBAGH, ZINA</t>
  </si>
  <si>
    <t>JAMES, KATHRYN</t>
  </si>
  <si>
    <t>MUCKLER, DIANA APRIL</t>
  </si>
  <si>
    <t>FORRESTER, GREGORY</t>
  </si>
  <si>
    <t>BRISCOE, BEVERLY</t>
  </si>
  <si>
    <t>CLARK, JONATHAN</t>
  </si>
  <si>
    <t>ALI, ZAHIR</t>
  </si>
  <si>
    <t>QUEVILLON, MELISSA</t>
  </si>
  <si>
    <t>RAMOS, MARIA</t>
  </si>
  <si>
    <t>LOFTIS, ADRIENNE</t>
  </si>
  <si>
    <t>VARMA, ANKUR</t>
  </si>
  <si>
    <t>KENNEDY, CAROL</t>
  </si>
  <si>
    <t>COCO, ZACKARY</t>
  </si>
  <si>
    <t>HELTON, MICHELLE</t>
  </si>
  <si>
    <t>PEMBER, BRITTNEY</t>
  </si>
  <si>
    <t>ELLIS, AUTUMN</t>
  </si>
  <si>
    <t>QUELLA, MEGAN</t>
  </si>
  <si>
    <t>EINWAG ARNOLD, JESSICA</t>
  </si>
  <si>
    <t>HOOTEN, AMANDA</t>
  </si>
  <si>
    <t>BALTZ, MARK</t>
  </si>
  <si>
    <t>CANNADAY, JERRY</t>
  </si>
  <si>
    <t>LOVELL, LYNN</t>
  </si>
  <si>
    <t>GUINN, ROBBY</t>
  </si>
  <si>
    <t>SMITH WADE, JENELL</t>
  </si>
  <si>
    <t>PIKE, DANIEL</t>
  </si>
  <si>
    <t>D'AMICO, ALLYSON</t>
  </si>
  <si>
    <t>PARTRIDGE, PAUL</t>
  </si>
  <si>
    <t>ANDERSON, JENNIE</t>
  </si>
  <si>
    <t>VARNER, KENDELL</t>
  </si>
  <si>
    <t>HORN, CODY</t>
  </si>
  <si>
    <t>SCOTT, JAY</t>
  </si>
  <si>
    <t>SIMS, JAN</t>
  </si>
  <si>
    <t>GOODFRED, JENNIFER</t>
  </si>
  <si>
    <t>TROTMAN, ROBIN</t>
  </si>
  <si>
    <t>MARTINDALE, MARK</t>
  </si>
  <si>
    <t>COSUE, LAMBERTO</t>
  </si>
  <si>
    <t>HAWKINS, TAMMY</t>
  </si>
  <si>
    <t>ZAWAM, YACIN</t>
  </si>
  <si>
    <t>PETERS, POOJA</t>
  </si>
  <si>
    <t>ADERA, SELAMAWIT</t>
  </si>
  <si>
    <t>SIMMONS, JAMES</t>
  </si>
  <si>
    <t>RAYBURN, CONNOR</t>
  </si>
  <si>
    <t>GARRISON, ASHLEY</t>
  </si>
  <si>
    <t>HOPKINS, NICHOLAS</t>
  </si>
  <si>
    <t>COHEN, JEREMY</t>
  </si>
  <si>
    <t>FRANQUES, JESSICA</t>
  </si>
  <si>
    <t>WILLIAMS, ALICIA</t>
  </si>
  <si>
    <t>RUIZ, RESTITUTO</t>
  </si>
  <si>
    <t>BAH, MOHAMMED</t>
  </si>
  <si>
    <t>SHAMSHAD, FAISAL</t>
  </si>
  <si>
    <t>DUNAWAY, JOSEPH</t>
  </si>
  <si>
    <t>YUAN, QING</t>
  </si>
  <si>
    <t>SHAW, SCOTT</t>
  </si>
  <si>
    <t>KHAN, ATIF</t>
  </si>
  <si>
    <t>BOYD, DIANE</t>
  </si>
  <si>
    <t>PRIDDLE, AMY</t>
  </si>
  <si>
    <t>VEACH, RACHEL</t>
  </si>
  <si>
    <t>SHAH, JAINIL</t>
  </si>
  <si>
    <t>PIOTTER, DANIEL</t>
  </si>
  <si>
    <t>MATHEWS, EDWIN</t>
  </si>
  <si>
    <t>STEWART, ALLYSON</t>
  </si>
  <si>
    <t>BAKER, LAUREN</t>
  </si>
  <si>
    <t>SMITH, NICOLE</t>
  </si>
  <si>
    <t>SINOJIA, GIRISH</t>
  </si>
  <si>
    <t>MARLOW, LAUREN</t>
  </si>
  <si>
    <t>JONES, JERMEY</t>
  </si>
  <si>
    <t>CHAUDHARY, RAGHAV</t>
  </si>
  <si>
    <t>BRYANT, KAITLYN</t>
  </si>
  <si>
    <t>SANDRIDGE, COURTNEY</t>
  </si>
  <si>
    <t>SIEROCUK, KYLE</t>
  </si>
  <si>
    <t>JOSEPH, ERIN</t>
  </si>
  <si>
    <t>EVERETT, RACHEL</t>
  </si>
  <si>
    <t>MAIER-HUNTER, BRITTANY</t>
  </si>
  <si>
    <t>WOODALL, CHARLES</t>
  </si>
  <si>
    <t>FARBER, STEVEN</t>
  </si>
  <si>
    <t>WARR, ALSTON</t>
  </si>
  <si>
    <t>MILLER, LAUREN</t>
  </si>
  <si>
    <t>WEBB, REBECCA</t>
  </si>
  <si>
    <t>LENTINE, ASHLEY</t>
  </si>
  <si>
    <t>CHERRY, JOHN</t>
  </si>
  <si>
    <t>WAYMACK, HAEDEN</t>
  </si>
  <si>
    <t>BECKHAM, JONATHAN</t>
  </si>
  <si>
    <t>MELTON, ALLISON</t>
  </si>
  <si>
    <t>OWENS, JOEL</t>
  </si>
  <si>
    <t>RILEY, EDWARD</t>
  </si>
  <si>
    <t>RIPPELMEYER, DRAKE</t>
  </si>
  <si>
    <t>DAVIS, MEGAN</t>
  </si>
  <si>
    <t>YANCEY, JAMES</t>
  </si>
  <si>
    <t>SINGH, AARON</t>
  </si>
  <si>
    <t>GADDOR, MOATAZ</t>
  </si>
  <si>
    <t>IFEDILI, IKECHUKWU</t>
  </si>
  <si>
    <t>KOEHLER, SETH</t>
  </si>
  <si>
    <t>PATEL, NIKASH</t>
  </si>
  <si>
    <t>HICKEY, MARANDA</t>
  </si>
  <si>
    <t>TROXEL, JACKSON</t>
  </si>
  <si>
    <t>STERN, DAVID</t>
  </si>
  <si>
    <t>WEATHERFORD, SARAH</t>
  </si>
  <si>
    <t>ADEDOYIN, OLUWAFEYI</t>
  </si>
  <si>
    <t>RINK, SHANNON</t>
  </si>
  <si>
    <t>BROWN, NASH</t>
  </si>
  <si>
    <t>DOROTHY, PATRICK</t>
  </si>
  <si>
    <t>BANDY, RAYMOND</t>
  </si>
  <si>
    <t>KRISHNAN, RUTH</t>
  </si>
  <si>
    <t>AQUINO, ADELO</t>
  </si>
  <si>
    <t>SCHAUF, KYLE</t>
  </si>
  <si>
    <t>YADAV, KAPIL</t>
  </si>
  <si>
    <t>HUNTER, PEARL</t>
  </si>
  <si>
    <t>ERVIN, BARBARA</t>
  </si>
  <si>
    <t>MONTALES, MARIA THERESA</t>
  </si>
  <si>
    <t>MILLER, JENNIFER</t>
  </si>
  <si>
    <t>POWELL, DIOSAN</t>
  </si>
  <si>
    <t>JONES, STEPHANIE</t>
  </si>
  <si>
    <t>COUNTS, LAWRENCE</t>
  </si>
  <si>
    <t>TATE, CYNTHIA</t>
  </si>
  <si>
    <t>JANOUS, CARRIE</t>
  </si>
  <si>
    <t>MILLS, AARON</t>
  </si>
  <si>
    <t>BORTON, MARC</t>
  </si>
  <si>
    <t>DOLAPO, OLAJIDE</t>
  </si>
  <si>
    <t>DALABIH, SEVILAY</t>
  </si>
  <si>
    <t>STEWART, GINGER</t>
  </si>
  <si>
    <t>VUJJINI, VIKAS</t>
  </si>
  <si>
    <t>WELBORN, FRANKLIN</t>
  </si>
  <si>
    <t>BEASLEY, JAMES</t>
  </si>
  <si>
    <t>GALLOWAY, LINDSEY</t>
  </si>
  <si>
    <t>ANDRE, DOROTIE</t>
  </si>
  <si>
    <t>HOOKS, DYLAN</t>
  </si>
  <si>
    <t>FORSYTH, LAURA</t>
  </si>
  <si>
    <t>MAZAHREH, FARAH</t>
  </si>
  <si>
    <t>UPCHURCH, HENRY</t>
  </si>
  <si>
    <t>HENDERSON, ELLENA</t>
  </si>
  <si>
    <t>FAIRLESS, DEBRA</t>
  </si>
  <si>
    <t>TAQI, HUMA</t>
  </si>
  <si>
    <t>MARLOW, KEREEM</t>
  </si>
  <si>
    <t>VINSETT, CARL</t>
  </si>
  <si>
    <t>SUTTON, JACOB</t>
  </si>
  <si>
    <t>BISEK, BRANDYE</t>
  </si>
  <si>
    <t>CRASE, DOUGLAS</t>
  </si>
  <si>
    <t>WALTER, DUSTIN</t>
  </si>
  <si>
    <t>HARTMAN, KAITLIN</t>
  </si>
  <si>
    <t>BURNETT, STEPHANIE</t>
  </si>
  <si>
    <t>RAPPOLD, LAUREN</t>
  </si>
  <si>
    <t>HUGGINS, KIMBERLY</t>
  </si>
  <si>
    <t>YADAV, SWETHA</t>
  </si>
  <si>
    <t>SETHI, POOJA</t>
  </si>
  <si>
    <t>BRUZATORI, MICHELLE</t>
  </si>
  <si>
    <t>YADAVALLI, PRATYUSHA</t>
  </si>
  <si>
    <t>TRIKANNAD ASHWINI KUMAR, ANUP KUMAR</t>
  </si>
  <si>
    <t>ANDERSON, SARAH</t>
  </si>
  <si>
    <t>QAMAR, MUHAMMAD</t>
  </si>
  <si>
    <t>RIDDLE, JAMES</t>
  </si>
  <si>
    <t>ROGERS, AMANDA</t>
  </si>
  <si>
    <t>CHUGHTAI, ALMAS</t>
  </si>
  <si>
    <t>ALLEN-DOYLE, CHRISTINA</t>
  </si>
  <si>
    <t>ROBBINS, STEPHANIE</t>
  </si>
  <si>
    <t>MARTIN, MOLLY</t>
  </si>
  <si>
    <t>TURNER, SAMMY</t>
  </si>
  <si>
    <t>LANDRY, JAMES</t>
  </si>
  <si>
    <t>JOHNSON, MICHAEL</t>
  </si>
  <si>
    <t>HIGGS, SANDRA</t>
  </si>
  <si>
    <t>CRAWFORD, CHRISTINA</t>
  </si>
  <si>
    <t>URHOGHIDE, NOYOZE</t>
  </si>
  <si>
    <t>ALVIAR, CHRISTOPHER</t>
  </si>
  <si>
    <t>RAINEY, COLLINS</t>
  </si>
  <si>
    <t>ROGERS, JOSHUA</t>
  </si>
  <si>
    <t>COOK, BRIANNA</t>
  </si>
  <si>
    <t>CANNER, MARK</t>
  </si>
  <si>
    <t>STACY, LINDSEY</t>
  </si>
  <si>
    <t>BABB, AMBER</t>
  </si>
  <si>
    <t>RAY, SHELBIE</t>
  </si>
  <si>
    <t>DISHMON, DWIGHT</t>
  </si>
  <si>
    <t>TAYLOR, ROBERT</t>
  </si>
  <si>
    <t>BLOUNT, GARY</t>
  </si>
  <si>
    <t>BAKER, ADAM</t>
  </si>
  <si>
    <t>BOWEN, RONNIE</t>
  </si>
  <si>
    <t>BRYAN, KRISTY</t>
  </si>
  <si>
    <t>PITTS, PHILIP</t>
  </si>
  <si>
    <t>CURTIS, GABRIELLE</t>
  </si>
  <si>
    <t>DAVIS, STEPHEN</t>
  </si>
  <si>
    <t>WELCH, ALICE</t>
  </si>
  <si>
    <t>FARR, LORI</t>
  </si>
  <si>
    <t>ANDRYKA, CAITLIN</t>
  </si>
  <si>
    <t>HAWAMDEH, HUSSAM</t>
  </si>
  <si>
    <t>RUSSELL, ANDREW</t>
  </si>
  <si>
    <t>BIRCHFIELD, MADELYNE</t>
  </si>
  <si>
    <t>STRICKLIN, AMANDA</t>
  </si>
  <si>
    <t>DOWNEN, BRIAN</t>
  </si>
  <si>
    <t>WICKS, LOUISA</t>
  </si>
  <si>
    <t>MEARA, JOHN</t>
  </si>
  <si>
    <t>OGBODO, EMMANUEL</t>
  </si>
  <si>
    <t>CZERWINSKI, JERI</t>
  </si>
  <si>
    <t>POTEKIN, EGOR</t>
  </si>
  <si>
    <t>ELLIOTT, HAYDEN</t>
  </si>
  <si>
    <t>WHITE, NATALIE</t>
  </si>
  <si>
    <t>STEPHENSON, KALEIGH</t>
  </si>
  <si>
    <t>LAWSON, JEREMY</t>
  </si>
  <si>
    <t>TIDWELL, RICHARD</t>
  </si>
  <si>
    <t>DAVIS, EDWARD</t>
  </si>
  <si>
    <t>WINKLER, ANNE</t>
  </si>
  <si>
    <t>COLLINS, BETHANY</t>
  </si>
  <si>
    <t>MARTIN, PATRICK</t>
  </si>
  <si>
    <t>COSTNER, DAVID</t>
  </si>
  <si>
    <t>NICHOLS, MARANDA</t>
  </si>
  <si>
    <t>ALLEYNE, MONTRESE</t>
  </si>
  <si>
    <t>REELY, KELSEY</t>
  </si>
  <si>
    <t>KHALSA, AMRIT</t>
  </si>
  <si>
    <t>RHEA, BRIAN</t>
  </si>
  <si>
    <t>ARCHER, JESSICA</t>
  </si>
  <si>
    <t>WINKELMEYER, CASSIE</t>
  </si>
  <si>
    <t>HERNANDEZ MORRIS, ALMA</t>
  </si>
  <si>
    <t>HOBSON, KYLA</t>
  </si>
  <si>
    <t>EARNEST, KIRA</t>
  </si>
  <si>
    <t>BRASWELL, ANNA</t>
  </si>
  <si>
    <t>CHAVIS, BRENT</t>
  </si>
  <si>
    <t>MERRYMAN, DARON</t>
  </si>
  <si>
    <t>KHASAWNEH, KHALED</t>
  </si>
  <si>
    <t>BALL, PETER</t>
  </si>
  <si>
    <t>PORTER, MARY</t>
  </si>
  <si>
    <t>ZHOU, FANG</t>
  </si>
  <si>
    <t>PRASAD, SENDIL KUMAR HARI</t>
  </si>
  <si>
    <t>RAYES, HAMZA</t>
  </si>
  <si>
    <t>MACLIN, ERIKA</t>
  </si>
  <si>
    <t>MCCOOL, ALISHA</t>
  </si>
  <si>
    <t>SALONGA, SEAN ANRO</t>
  </si>
  <si>
    <t>HUMPHREY, HEATHER</t>
  </si>
  <si>
    <t>LUEDDERS-EAST, MISHANN</t>
  </si>
  <si>
    <t>BOWERS, CHARLES</t>
  </si>
  <si>
    <t>SHIPLEY, CAITLYN</t>
  </si>
  <si>
    <t>YOGESH, KUMAR</t>
  </si>
  <si>
    <t>COBB, VICKI</t>
  </si>
  <si>
    <t>SEARCY, ROBERT</t>
  </si>
  <si>
    <t>LYN-BOSWELL, CARLA</t>
  </si>
  <si>
    <t>WHITE, RACHEL</t>
  </si>
  <si>
    <t>MADILL, MARY</t>
  </si>
  <si>
    <t>MCKLEMURRY, JULIANNA</t>
  </si>
  <si>
    <t>PRICE, JENNIFER</t>
  </si>
  <si>
    <t>KAKARLA, RADHIKA</t>
  </si>
  <si>
    <t>VICTORY-MCDANIEL, KERI</t>
  </si>
  <si>
    <t>GARIBALDI, BYRON</t>
  </si>
  <si>
    <t>BASHAM, BRIAN</t>
  </si>
  <si>
    <t>CORTER, MENDY</t>
  </si>
  <si>
    <t>GRIFFIN, PATRICIA</t>
  </si>
  <si>
    <t>GUINN, JOHN</t>
  </si>
  <si>
    <t>CLEOUS, KATELYN</t>
  </si>
  <si>
    <t>POOLE, CARRIE</t>
  </si>
  <si>
    <t>ROBERTS, GWENDOLYN</t>
  </si>
  <si>
    <t>MCCONNELL, MICHELLE</t>
  </si>
  <si>
    <t>BRITTAIN, MORGAN</t>
  </si>
  <si>
    <t>THOMPSON, NATASCHA</t>
  </si>
  <si>
    <t>TAMAKLOE, SEDO</t>
  </si>
  <si>
    <t>SCHISLER, KIMBERLY</t>
  </si>
  <si>
    <t>YARLAGADDA, NAVEEN</t>
  </si>
  <si>
    <t>OBERHOLZ, LAURA</t>
  </si>
  <si>
    <t>SULIMAN, ABDELRAZIG</t>
  </si>
  <si>
    <t>KHAN, JAHANZEB</t>
  </si>
  <si>
    <t>DEVLIN, DEVIN</t>
  </si>
  <si>
    <t>MEDRANO JUAREZ, RITA</t>
  </si>
  <si>
    <t>FAWAD, SAIMA</t>
  </si>
  <si>
    <t>JOHNSON, DALLAS</t>
  </si>
  <si>
    <t>TURNER, MATTHEW</t>
  </si>
  <si>
    <t>CARTER, ANTHONY</t>
  </si>
  <si>
    <t>CONNORS, ROBIN</t>
  </si>
  <si>
    <t>ALDRICH, JOSEPH</t>
  </si>
  <si>
    <t>ATKINS, ALAN</t>
  </si>
  <si>
    <t>BLACKMAN, CAROLYN</t>
  </si>
  <si>
    <t>MAZUMDER, SHIRIN</t>
  </si>
  <si>
    <t>ANDREWS, KAREN</t>
  </si>
  <si>
    <t>KLEIN, NICOLE</t>
  </si>
  <si>
    <t>RUSSELL, ALLISON</t>
  </si>
  <si>
    <t>ELIAS, JACLYNN</t>
  </si>
  <si>
    <t>RANON, SHENA</t>
  </si>
  <si>
    <t>GIDDINGS, ROBERT</t>
  </si>
  <si>
    <t>BOYCE, TIFFANIE</t>
  </si>
  <si>
    <t>BOLES, MARGARET</t>
  </si>
  <si>
    <t>ROWE, JEREMY</t>
  </si>
  <si>
    <t>MCLOUD, HEATHER</t>
  </si>
  <si>
    <t>KIEFER, HANNA</t>
  </si>
  <si>
    <t>ORISON, LUKE</t>
  </si>
  <si>
    <t>BARGER, TAYLOR</t>
  </si>
  <si>
    <t>AUDIBERT, JEFF</t>
  </si>
  <si>
    <t>TYSON, JANE</t>
  </si>
  <si>
    <t>PATEL, AMITA</t>
  </si>
  <si>
    <t>COX, KELLIE</t>
  </si>
  <si>
    <t>WASEF, MICHAEL</t>
  </si>
  <si>
    <t>STALLINGS, TAMMY</t>
  </si>
  <si>
    <t>AKINSEYE, OLUWASEUN</t>
  </si>
  <si>
    <t>LEWIS, ZACHARY</t>
  </si>
  <si>
    <t>ROBERTSON, BRITTANY</t>
  </si>
  <si>
    <t>MURPHY, BRENT</t>
  </si>
  <si>
    <t>HARBERSON, RHIANNA</t>
  </si>
  <si>
    <t>SONNTAG, CHRISTOPHER</t>
  </si>
  <si>
    <t>KORSZOLOSKI, KATRINA</t>
  </si>
  <si>
    <t>KHAN, JAWAIRIA</t>
  </si>
  <si>
    <t>VAISLER, RYAN</t>
  </si>
  <si>
    <t>NICHOLS, ALEXIS</t>
  </si>
  <si>
    <t>WATT, JESSICA</t>
  </si>
  <si>
    <t>RUCKER, MARK</t>
  </si>
  <si>
    <t>JENKINS, JEFFERY</t>
  </si>
  <si>
    <t>KUZAS, JANE</t>
  </si>
  <si>
    <t>KHAN, NEELAM</t>
  </si>
  <si>
    <t>MAJOR, STEVEN</t>
  </si>
  <si>
    <t>ALI, SHEHARYAR</t>
  </si>
  <si>
    <t>PICKREN, CRAIG</t>
  </si>
  <si>
    <t>HAMPTON, DARLENE</t>
  </si>
  <si>
    <t>MASANGKAY, NEIL</t>
  </si>
  <si>
    <t>DAVIS, CLARENCE</t>
  </si>
  <si>
    <t>PATEL, PREMAL</t>
  </si>
  <si>
    <t>KOCUREK, EMILY</t>
  </si>
  <si>
    <t>HICKS, COURTNEY</t>
  </si>
  <si>
    <t>HOPKINS, DAVID</t>
  </si>
  <si>
    <t>TRAN, JIMMY</t>
  </si>
  <si>
    <t>ABEBE, ESAYAS</t>
  </si>
  <si>
    <t>SYED, FARHAN</t>
  </si>
  <si>
    <t>STEWART, JASON</t>
  </si>
  <si>
    <t>ONARECKER, TIMOTHY</t>
  </si>
  <si>
    <t>MINHAS, SHEHARYAR</t>
  </si>
  <si>
    <t>RAMSEY, ANGELA</t>
  </si>
  <si>
    <t>GRIFFIN, DANIELLE</t>
  </si>
  <si>
    <t>FAULKNER, LAUREN</t>
  </si>
  <si>
    <t>GREEN, ASHLEY</t>
  </si>
  <si>
    <t>WENGER, KRISTINA</t>
  </si>
  <si>
    <t>MCCLURE, TIMOTHY</t>
  </si>
  <si>
    <t>KLUCH, JOANNA</t>
  </si>
  <si>
    <t>SCHEIDLER, HEIDI</t>
  </si>
  <si>
    <t>VANDERFORD, ROBYN</t>
  </si>
  <si>
    <t>GRAY, APRIL</t>
  </si>
  <si>
    <t>GAST, JOSH</t>
  </si>
  <si>
    <t>GRAHAM, JAMES</t>
  </si>
  <si>
    <t>LOCK, WALLACE</t>
  </si>
  <si>
    <t>ACUP, JAMES</t>
  </si>
  <si>
    <t>SHAFFER, ELIZABETH</t>
  </si>
  <si>
    <t>MIDDLETON, CADEN</t>
  </si>
  <si>
    <t>SADICON, JUELLA</t>
  </si>
  <si>
    <t>WASHINGTON, KEYISHA</t>
  </si>
  <si>
    <t>NORRIS, TAYLOR</t>
  </si>
  <si>
    <t>MACDONALD, GRETA</t>
  </si>
  <si>
    <t>KRESSE, GREGORY</t>
  </si>
  <si>
    <t>DANIEL, ANDREW</t>
  </si>
  <si>
    <t>WARD, TYE</t>
  </si>
  <si>
    <t>EASOM, DELILAH</t>
  </si>
  <si>
    <t>HURLEY, MARY MARGARET</t>
  </si>
  <si>
    <t>ARUGUNTA, MADAN MOHAN REDDY</t>
  </si>
  <si>
    <t>DAVIDSON, NATHAN</t>
  </si>
  <si>
    <t>WILLIAMS, KAYLA</t>
  </si>
  <si>
    <t>COMPTON, HEIDI</t>
  </si>
  <si>
    <t>MORETTA, LINDSEY</t>
  </si>
  <si>
    <t>ABBAS, MUHAMMAD KHALID</t>
  </si>
  <si>
    <t>BASHTAWI, YAZAN</t>
  </si>
  <si>
    <t>MOODY, KYLEE</t>
  </si>
  <si>
    <t>PARISH, STEPHANIE</t>
  </si>
  <si>
    <t>HARTMAN, PAYTON</t>
  </si>
  <si>
    <t>PARISH, STEPHEN</t>
  </si>
  <si>
    <t>MERIDETH, BARBARA</t>
  </si>
  <si>
    <t>SHELBY, EUGENE</t>
  </si>
  <si>
    <t>EZE, GIFT</t>
  </si>
  <si>
    <t>MITCHELL, SHAUNNA</t>
  </si>
  <si>
    <t>ICAZA, RAMIRO</t>
  </si>
  <si>
    <t>DANDU, VASUKI</t>
  </si>
  <si>
    <t>WHITE, FELICIA</t>
  </si>
  <si>
    <t>WEST, MICHAEL</t>
  </si>
  <si>
    <t>DHAMI, BALREET</t>
  </si>
  <si>
    <t>HARHAY, JASON</t>
  </si>
  <si>
    <t>HALTER, TAYLOR</t>
  </si>
  <si>
    <t>MALHOTRA, VIVEK</t>
  </si>
  <si>
    <t>DAVIS, AMBER</t>
  </si>
  <si>
    <t>DAVIS, SKYLAR</t>
  </si>
  <si>
    <t>SNOW, SHELBY</t>
  </si>
  <si>
    <t>BARBER, JESSICA</t>
  </si>
  <si>
    <t>EKANEM, FELIX</t>
  </si>
  <si>
    <t>KAMOGA, GILBERT-ROY</t>
  </si>
  <si>
    <t>MIRZA, MUHAMMAD</t>
  </si>
  <si>
    <t>HUDSON, MEGAN</t>
  </si>
  <si>
    <t>ASLIN, CATHERINE</t>
  </si>
  <si>
    <t>JIANG, DONGXIA</t>
  </si>
  <si>
    <t>HALL, JULIA</t>
  </si>
  <si>
    <t>CARMICAL, BRANDI</t>
  </si>
  <si>
    <t>MOORE, RAMONA</t>
  </si>
  <si>
    <t>DENNIS, SARAH</t>
  </si>
  <si>
    <t>MATHEWS, CAROL</t>
  </si>
  <si>
    <t>FISHER, LAURIE</t>
  </si>
  <si>
    <t>SPEAR, JEFFREY</t>
  </si>
  <si>
    <t>IANSMITH, DAVID</t>
  </si>
  <si>
    <t>YABUT, EDMOND</t>
  </si>
  <si>
    <t>CROWELL, KAREN</t>
  </si>
  <si>
    <t>STARNES, ELIZABETH</t>
  </si>
  <si>
    <t>BROTHERS, MICAH</t>
  </si>
  <si>
    <t>CARTER-WYATT, SHERRI</t>
  </si>
  <si>
    <t>COPLON, DEBRA</t>
  </si>
  <si>
    <t>MORRISON, DEREK</t>
  </si>
  <si>
    <t>ZAVALLA, RICHARD</t>
  </si>
  <si>
    <t>SINGH, JASKEERAT</t>
  </si>
  <si>
    <t>BARRERA PENA, FABIO</t>
  </si>
  <si>
    <t>MCCORMACK, JAMES</t>
  </si>
  <si>
    <t>KORDSMEIER, COLTON</t>
  </si>
  <si>
    <t>WALKER, DEVAN</t>
  </si>
  <si>
    <t>LEWIS, LAJARVIS</t>
  </si>
  <si>
    <t>ADAMS, KRISTY</t>
  </si>
  <si>
    <t>MELTON, ERIN</t>
  </si>
  <si>
    <t>QUATTLEBAUM, PAULA</t>
  </si>
  <si>
    <t>ARMSTRONG, CAROLYN</t>
  </si>
  <si>
    <t>ROYLANCE, JEFFREY</t>
  </si>
  <si>
    <t>GLENN, BRYAN</t>
  </si>
  <si>
    <t>WALTON, GINA</t>
  </si>
  <si>
    <t>GARNER, KIMBERLY</t>
  </si>
  <si>
    <t>CHOWDHURY, ARIJIT</t>
  </si>
  <si>
    <t>WYATT, JONATHAN</t>
  </si>
  <si>
    <t>PERKINS, AMY</t>
  </si>
  <si>
    <t>ABDUL JAWAD, SAMI</t>
  </si>
  <si>
    <t>WEAVER, NICHOLAS</t>
  </si>
  <si>
    <t>LOWE, LESLEE</t>
  </si>
  <si>
    <t>STORY, SARA</t>
  </si>
  <si>
    <t>DAVIS, ERYN</t>
  </si>
  <si>
    <t>HECKLE, MARK</t>
  </si>
  <si>
    <t>AVILA, JEREMY</t>
  </si>
  <si>
    <t>MONROE, BRETT</t>
  </si>
  <si>
    <t>HUSLIG, RYAN</t>
  </si>
  <si>
    <t>ALLEN, ANNA</t>
  </si>
  <si>
    <t>MCDONALD, DEVIN</t>
  </si>
  <si>
    <t>SOHAIL, MUHAMMAD SAAD</t>
  </si>
  <si>
    <t>WILLIAMS, EDWARD</t>
  </si>
  <si>
    <t>MECKFESSEL, CARA</t>
  </si>
  <si>
    <t>PETTIS, CATHY</t>
  </si>
  <si>
    <t>ADAMS, GREGORY</t>
  </si>
  <si>
    <t>GREGORY, RUSSELL</t>
  </si>
  <si>
    <t>EVANS, CHRISTIANNA</t>
  </si>
  <si>
    <t>VICK, TARAH</t>
  </si>
  <si>
    <t>SULLIVAN, CARY</t>
  </si>
  <si>
    <t>REYES, CHAN</t>
  </si>
  <si>
    <t>HANNA, SARA</t>
  </si>
  <si>
    <t>THOMAS, LEE</t>
  </si>
  <si>
    <t>LINDSEY, DAWN</t>
  </si>
  <si>
    <t>ROBINSON, MATTHEW</t>
  </si>
  <si>
    <t>CRAFT, PORSCHE</t>
  </si>
  <si>
    <t>MARCAK, MICHELLE</t>
  </si>
  <si>
    <t>MCNEAL, AMBER</t>
  </si>
  <si>
    <t>SHEARS, JALEESA</t>
  </si>
  <si>
    <t>LANE, JONMARK</t>
  </si>
  <si>
    <t>GREEN, ALIA</t>
  </si>
  <si>
    <t>MOORE, MARY</t>
  </si>
  <si>
    <t>KIERNAN, KRISTIN</t>
  </si>
  <si>
    <t>SULLIVAN, THOMAS</t>
  </si>
  <si>
    <t>FANKHAUSER, JOEL</t>
  </si>
  <si>
    <t>HARNEY, JUSTIN</t>
  </si>
  <si>
    <t>PASLAY, DAVID</t>
  </si>
  <si>
    <t>YATES, JOSEPH</t>
  </si>
  <si>
    <t>FARMER, SHAWNTE</t>
  </si>
  <si>
    <t>RIAZ, AYESHA</t>
  </si>
  <si>
    <t>GEMECHU, TIGIST</t>
  </si>
  <si>
    <t>KING, BRIAN</t>
  </si>
  <si>
    <t>KAMOGA, DOREEN</t>
  </si>
  <si>
    <t>BOMB, KAVITA</t>
  </si>
  <si>
    <t>YAHYA, OWAIS</t>
  </si>
  <si>
    <t>GIBBS, SYDNI</t>
  </si>
  <si>
    <t>TAUBERT, RILEY</t>
  </si>
  <si>
    <t>MCCULLOUGH, SUSAN</t>
  </si>
  <si>
    <t>TUGGLE, MARCIE</t>
  </si>
  <si>
    <t>LAWRENCE, NEAL</t>
  </si>
  <si>
    <t>THOMAS, SHEILA</t>
  </si>
  <si>
    <t>QUINN, BAYARD</t>
  </si>
  <si>
    <t>ZAPATA, JUAN</t>
  </si>
  <si>
    <t>NAGY, STEPHEN</t>
  </si>
  <si>
    <t>WARFORD, JEREMY</t>
  </si>
  <si>
    <t>WILLIAMS, TAMMY</t>
  </si>
  <si>
    <t>CLARKE, CATHERINE</t>
  </si>
  <si>
    <t>AUSEF, AMIR</t>
  </si>
  <si>
    <t>RODRIGUEZ, JOHN</t>
  </si>
  <si>
    <t>DAVENPORT, JEFFREY</t>
  </si>
  <si>
    <t>MCGLONE, MARCIA</t>
  </si>
  <si>
    <t>BOHRA, ROBIN</t>
  </si>
  <si>
    <t>GONUGUNTA, KALYAN</t>
  </si>
  <si>
    <t>ESPINOZA, DIEGO</t>
  </si>
  <si>
    <t>MELO, EVA</t>
  </si>
  <si>
    <t>HARRIS, MOLLY</t>
  </si>
  <si>
    <t>REYNOLDS, LINDSEY</t>
  </si>
  <si>
    <t>VOEGELE, HANNAH</t>
  </si>
  <si>
    <t>BRYANT, TERAYIA</t>
  </si>
  <si>
    <t>GREEN, LYNDA</t>
  </si>
  <si>
    <t>BOWLING, CHARLES</t>
  </si>
  <si>
    <t>KISTANGARI, GAURAV</t>
  </si>
  <si>
    <t>KHAIRY, RAED</t>
  </si>
  <si>
    <t>FOSTER, CODY</t>
  </si>
  <si>
    <t>AHMED, MOHAMMED</t>
  </si>
  <si>
    <t>BURDINE, LYLE</t>
  </si>
  <si>
    <t>JOHNSON, NAKOMA</t>
  </si>
  <si>
    <t>EASTLACK, DANIEL</t>
  </si>
  <si>
    <t>PARNELL, CHRISTIAN</t>
  </si>
  <si>
    <t>FLASH, MEJHORN</t>
  </si>
  <si>
    <t>AKIN, CHARLES</t>
  </si>
  <si>
    <t>WEBB, KIMBERLY</t>
  </si>
  <si>
    <t>LAZARTE, HARRY</t>
  </si>
  <si>
    <t>JAMPANA, SRINIVASA</t>
  </si>
  <si>
    <t>MCKEE, STEVEN</t>
  </si>
  <si>
    <t>AL-SARIE, MOHAMMAD</t>
  </si>
  <si>
    <t>ARIF, SHAHRUKH</t>
  </si>
  <si>
    <t>BREWER, ASHLEA</t>
  </si>
  <si>
    <t>GILL, JASON</t>
  </si>
  <si>
    <t>HUFFMAN, KAYLEY</t>
  </si>
  <si>
    <t>BLYTHE, JORDAN</t>
  </si>
  <si>
    <t>PINKERTON, SARA</t>
  </si>
  <si>
    <t>KREIMID, MOSBAH</t>
  </si>
  <si>
    <t>JACOBS, ROBERT</t>
  </si>
  <si>
    <t>HEDGES, HAROLD</t>
  </si>
  <si>
    <t>DOUGLAS, LORI</t>
  </si>
  <si>
    <t>BYNUM, JOSEPH</t>
  </si>
  <si>
    <t>KHALAF, ANTOINE</t>
  </si>
  <si>
    <t>GREER, CHASSITY</t>
  </si>
  <si>
    <t>CALLAHAN, JACLYN</t>
  </si>
  <si>
    <t>EVELD, HANNAH</t>
  </si>
  <si>
    <t>MARTIN, JAKE</t>
  </si>
  <si>
    <t>ALHAYEK, SOUBHI</t>
  </si>
  <si>
    <t>NESDAHL, GREG</t>
  </si>
  <si>
    <t>WILLIAMS, LATRICE</t>
  </si>
  <si>
    <t>CIVERA, EMILY</t>
  </si>
  <si>
    <t>ROBERTS, EMMA</t>
  </si>
  <si>
    <t>TINSLEY, AUSTIN</t>
  </si>
  <si>
    <t>BROWN, ELLENMARIE</t>
  </si>
  <si>
    <t>GALLEGO-SANCHEZ, HECTOR</t>
  </si>
  <si>
    <t>JOHNSON, STEPHEN</t>
  </si>
  <si>
    <t>PURCHASE, CHRISTOPHER</t>
  </si>
  <si>
    <t>HENNON, MARCUS</t>
  </si>
  <si>
    <t>WADE, AMBER</t>
  </si>
  <si>
    <t>ROBERTS, JENNA</t>
  </si>
  <si>
    <t>HEAD, MICHELLE</t>
  </si>
  <si>
    <t>KING, VALERIA</t>
  </si>
  <si>
    <t>JONES, JASON</t>
  </si>
  <si>
    <t>THOMASON, KAITLYN</t>
  </si>
  <si>
    <t>PAYNE, PORTIA</t>
  </si>
  <si>
    <t>SHAW, SARAH</t>
  </si>
  <si>
    <t>LASSIEUR ROBERTSON, SUSANNE</t>
  </si>
  <si>
    <t>JALAL, REZA</t>
  </si>
  <si>
    <t>TAYLOR, MARTIN</t>
  </si>
  <si>
    <t>KOLEILAT, BASSEM</t>
  </si>
  <si>
    <t>CUNNINGHAM, THOMAS</t>
  </si>
  <si>
    <t>WASHBURN, JOHN</t>
  </si>
  <si>
    <t>VAN HILST, CHRISTINA</t>
  </si>
  <si>
    <t>TAYLOR, CARYN</t>
  </si>
  <si>
    <t>GIBBS, DAYNA</t>
  </si>
  <si>
    <t>STARNES, ASHLEY</t>
  </si>
  <si>
    <t>LUCAS, HEATHER</t>
  </si>
  <si>
    <t>MULLINS, JAMES</t>
  </si>
  <si>
    <t>MCDONALD, NATALIE</t>
  </si>
  <si>
    <t>ELLIOTT, JOCELYN</t>
  </si>
  <si>
    <t>STEPHENS, CHASTITY</t>
  </si>
  <si>
    <t>KWON, GREGORY</t>
  </si>
  <si>
    <t>PEPPERS, SONYA</t>
  </si>
  <si>
    <t>EBERLE, ANDREA</t>
  </si>
  <si>
    <t>RASOOL, SHUJA</t>
  </si>
  <si>
    <t>OST, SHELLEY</t>
  </si>
  <si>
    <t>MASON, VICKIE</t>
  </si>
  <si>
    <t>MADADI, ANIL</t>
  </si>
  <si>
    <t>COWAN, CECIL</t>
  </si>
  <si>
    <t>ALFAQIH, MOHANAD</t>
  </si>
  <si>
    <t>FOSTER, TIFFANY</t>
  </si>
  <si>
    <t>LEFORCE, TABATHA</t>
  </si>
  <si>
    <t>JOHNSON, MATTHEW</t>
  </si>
  <si>
    <t>LONE, BINISH</t>
  </si>
  <si>
    <t>ASHLEY, JENNIFER</t>
  </si>
  <si>
    <t>ANDERSON, SHAWN</t>
  </si>
  <si>
    <t>CARAWAY, BEVERLY</t>
  </si>
  <si>
    <t>WRIGHT, STEVEN</t>
  </si>
  <si>
    <t>FROST, ANDREW</t>
  </si>
  <si>
    <t>GANGADHARAMURTHY, DAKSHIN</t>
  </si>
  <si>
    <t>KING, RACHEL</t>
  </si>
  <si>
    <t>MCGUIRE, TERRA</t>
  </si>
  <si>
    <t>PAIR, COLBY</t>
  </si>
  <si>
    <t>HIDDLE, KAITLIN</t>
  </si>
  <si>
    <t>MISHLER, NELSON</t>
  </si>
  <si>
    <t>GUILLERMO, ENRIQUE</t>
  </si>
  <si>
    <t>LEVINE, YEHOSHUA</t>
  </si>
  <si>
    <t>MABON, TARA</t>
  </si>
  <si>
    <t>FILIP, ARI</t>
  </si>
  <si>
    <t>GIBSON, CHAD</t>
  </si>
  <si>
    <t>STAPP, MICHELLE</t>
  </si>
  <si>
    <t>LIAUKOVICH, VOLHA</t>
  </si>
  <si>
    <t>SARTAIN, KIMBERLEE</t>
  </si>
  <si>
    <t>FOWLER, VANESSA</t>
  </si>
  <si>
    <t>RENO, DEREK</t>
  </si>
  <si>
    <t>WILLIAMS, LESLIE</t>
  </si>
  <si>
    <t>LANE, ROBERT</t>
  </si>
  <si>
    <t>MAXWELL, TERESA</t>
  </si>
  <si>
    <t>HOVIS, RACHEL</t>
  </si>
  <si>
    <t>HAY, VICKY</t>
  </si>
  <si>
    <t>DASARI, CHANDRA</t>
  </si>
  <si>
    <t>KUMAR, SACHIN</t>
  </si>
  <si>
    <t>RAGUNANTHAN, NINA</t>
  </si>
  <si>
    <t>NATHANI, KARISHMA</t>
  </si>
  <si>
    <t>MONTGOMERY, EBONY</t>
  </si>
  <si>
    <t>PLAUCHE, RAELYN</t>
  </si>
  <si>
    <t>FARMER, HANNAH</t>
  </si>
  <si>
    <t>PATEL, TAKSH</t>
  </si>
  <si>
    <t>MOCAN, BRIGETTE</t>
  </si>
  <si>
    <t>NEWMAN, EMILY</t>
  </si>
  <si>
    <t>BOWLING, LAUREN</t>
  </si>
  <si>
    <t>CLARK, ANNIE</t>
  </si>
  <si>
    <t>JENKINS, AMY</t>
  </si>
  <si>
    <t>HOLMAN, DOUGLAS</t>
  </si>
  <si>
    <t>SCHUDY, MARTIN</t>
  </si>
  <si>
    <t>ARMSTRONG, SHERRY</t>
  </si>
  <si>
    <t>BOMMASAMUDRAM, PAVANKUMAR</t>
  </si>
  <si>
    <t>PETERS, EDWINA</t>
  </si>
  <si>
    <t>ROBINSON, CANDACE</t>
  </si>
  <si>
    <t>HUNTER, DELAYNA</t>
  </si>
  <si>
    <t>BURNS, TRISHA</t>
  </si>
  <si>
    <t>COPLEY, AMANDA</t>
  </si>
  <si>
    <t>YADALA, VIVEK</t>
  </si>
  <si>
    <t>SULLIVAN, KIMBERLY</t>
  </si>
  <si>
    <t>CROW, ASHLEY</t>
  </si>
  <si>
    <t>CRONE, ALLISON</t>
  </si>
  <si>
    <t>HENLEY, LINDSEY</t>
  </si>
  <si>
    <t>ONUOHA, PATIENCE</t>
  </si>
  <si>
    <t>KOCH, DEBBIE</t>
  </si>
  <si>
    <t>HATFIELD, SAMANTHA</t>
  </si>
  <si>
    <t>ELLIOTT, ELIZABETH</t>
  </si>
  <si>
    <t>UMEORA, MARYJOANNE</t>
  </si>
  <si>
    <t>TONEY, JOSEPH</t>
  </si>
  <si>
    <t>CONWAY, ALISHA</t>
  </si>
  <si>
    <t>ALABI, OLUWAFUNMILOLA</t>
  </si>
  <si>
    <t>AL-ODAT, RAWAN</t>
  </si>
  <si>
    <t>BATEMAN, THOMAS</t>
  </si>
  <si>
    <t>QURESHI, IRAM</t>
  </si>
  <si>
    <t>FORD, STARSHA</t>
  </si>
  <si>
    <t>WILLIAMS, KIMBERLY</t>
  </si>
  <si>
    <t>FREDERICK, KELSI</t>
  </si>
  <si>
    <t>MCCRARY, ALYSSA</t>
  </si>
  <si>
    <t>BRAME, SUSAN</t>
  </si>
  <si>
    <t>HAGEMAN, LINDA</t>
  </si>
  <si>
    <t>VENEGAS, JULIAN</t>
  </si>
  <si>
    <t>SCOTT, ROBERT</t>
  </si>
  <si>
    <t>MEISTER, AMY</t>
  </si>
  <si>
    <t>PILLOW, EDWARD</t>
  </si>
  <si>
    <t>LEACH, HEATHER</t>
  </si>
  <si>
    <t>SILVA, CARLOS</t>
  </si>
  <si>
    <t>BATEMAN, MISHALA</t>
  </si>
  <si>
    <t>MOHADJER, ASHLEY</t>
  </si>
  <si>
    <t>SUNDERLAND, JENNIFER</t>
  </si>
  <si>
    <t>COTTRELL, CODY</t>
  </si>
  <si>
    <t>TAY, ANTHONY</t>
  </si>
  <si>
    <t>SHRUM, STEVEN</t>
  </si>
  <si>
    <t>LITTLE, NITA</t>
  </si>
  <si>
    <t>HENSLEY, CRYSTAL</t>
  </si>
  <si>
    <t>VO, HALEY</t>
  </si>
  <si>
    <t>KLEINMAN, MICHAEL</t>
  </si>
  <si>
    <t>WILKINS, ASHLEY</t>
  </si>
  <si>
    <t>HOGUE, JOSEPH</t>
  </si>
  <si>
    <t>HICKS, DEVIN</t>
  </si>
  <si>
    <t>SARWAR, MUJTABA</t>
  </si>
  <si>
    <t>PETERS, VANESSA</t>
  </si>
  <si>
    <t>FORD, CATHERINE</t>
  </si>
  <si>
    <t>GUTTING, JESSICA</t>
  </si>
  <si>
    <t>GEATER, BARBARA</t>
  </si>
  <si>
    <t>EZELL, LARRY</t>
  </si>
  <si>
    <t>HORAN, MICHELLE</t>
  </si>
  <si>
    <t>CHUANG, HOWARD</t>
  </si>
  <si>
    <t>DAWLAH, ZUBAER</t>
  </si>
  <si>
    <t>JOHNSON, ABIGAIL</t>
  </si>
  <si>
    <t>RODRIGUEZ, CARLOS</t>
  </si>
  <si>
    <t>BARMEIER, CEARA</t>
  </si>
  <si>
    <t>FARNAM, NATASHA</t>
  </si>
  <si>
    <t>FRAZIER, JESSICA</t>
  </si>
  <si>
    <t>SHABBIR, ARAFAT</t>
  </si>
  <si>
    <t>LEFFERT, JACOB</t>
  </si>
  <si>
    <t>YOUNG, LAURA</t>
  </si>
  <si>
    <t>SMITH, CLAIRE</t>
  </si>
  <si>
    <t>SELANDERS, MARY</t>
  </si>
  <si>
    <t>WILES, BRITTNAY</t>
  </si>
  <si>
    <t>WORK, PARKER</t>
  </si>
  <si>
    <t>WOODMANSEE, RAY</t>
  </si>
  <si>
    <t>BROCK, CHARLES</t>
  </si>
  <si>
    <t>HANCOCK, AMY</t>
  </si>
  <si>
    <t>MATHEWS, GRANT</t>
  </si>
  <si>
    <t>MATTOX, SARAH</t>
  </si>
  <si>
    <t>LANGE-HALLEY, JACQUELYN</t>
  </si>
  <si>
    <t>WARFORD, BROCK</t>
  </si>
  <si>
    <t>CHAMPION, DOMINIQUE</t>
  </si>
  <si>
    <t>POWELL, AUTUMN</t>
  </si>
  <si>
    <t>HENDRIX, ABBIE</t>
  </si>
  <si>
    <t>DINGER, CRAIG</t>
  </si>
  <si>
    <t>PATEL, KETAN</t>
  </si>
  <si>
    <t>AL-NASHIF, ALI</t>
  </si>
  <si>
    <t>DOWNING, OAKLEY</t>
  </si>
  <si>
    <t>COLE, CASSANDRA</t>
  </si>
  <si>
    <t>MUNN, JULES</t>
  </si>
  <si>
    <t>COLEY, DOMINIQUE</t>
  </si>
  <si>
    <t>ARMOUR, KAREN</t>
  </si>
  <si>
    <t>STEELY, DONALD</t>
  </si>
  <si>
    <t>HANISSIAN, GINA</t>
  </si>
  <si>
    <t>MCMAHON, MORGAN</t>
  </si>
  <si>
    <t>KENT, MARIE</t>
  </si>
  <si>
    <t>BHAT, PRASHANTH</t>
  </si>
  <si>
    <t>HUSSAIN, MUNAWWAR</t>
  </si>
  <si>
    <t>SALEH, BELAL</t>
  </si>
  <si>
    <t>REED, WHITNEY</t>
  </si>
  <si>
    <t>BAROS, ALICIA</t>
  </si>
  <si>
    <t>VALDEZ, EDDY</t>
  </si>
  <si>
    <t>MORRIS, JYMIRAH</t>
  </si>
  <si>
    <t>MARTINEZ, VANESSA</t>
  </si>
  <si>
    <t>BASHIR, MUHAMMAD</t>
  </si>
  <si>
    <t>ORTEGO, TERRYL</t>
  </si>
  <si>
    <t>WILLIAMS, NIKKI</t>
  </si>
  <si>
    <t>RAMIREZ, RAUL</t>
  </si>
  <si>
    <t>WILSON, KAYCI</t>
  </si>
  <si>
    <t>BARNES, ROBERT</t>
  </si>
  <si>
    <t>CAGLE, JAMIE</t>
  </si>
  <si>
    <t>ELSWICK, AMANDA</t>
  </si>
  <si>
    <t>PYLE, DAVID</t>
  </si>
  <si>
    <t>WATSON, PHILIP</t>
  </si>
  <si>
    <t>MUZAMMIL, AYESHA</t>
  </si>
  <si>
    <t>CURRY, JANET</t>
  </si>
  <si>
    <t>SPEARS, GREGORY</t>
  </si>
  <si>
    <t>LI, TING</t>
  </si>
  <si>
    <t>ROBERTS, RONALD</t>
  </si>
  <si>
    <t>PALMER, TIFFANY</t>
  </si>
  <si>
    <t>ELEANYA, SAMUEL</t>
  </si>
  <si>
    <t>HEAD, ASHLEY</t>
  </si>
  <si>
    <t>HAWKINS, KENNETH</t>
  </si>
  <si>
    <t>CARL, CHRISTINA</t>
  </si>
  <si>
    <t>PRITCHARD, CASEY</t>
  </si>
  <si>
    <t>DIECKMAN, JULIANNE</t>
  </si>
  <si>
    <t>CHANCE, JODY</t>
  </si>
  <si>
    <t>AKBAR, ALI</t>
  </si>
  <si>
    <t>AMMONS, KRISTY</t>
  </si>
  <si>
    <t>DOUGAN, JEREMY</t>
  </si>
  <si>
    <t>TIGNOR, REGINA</t>
  </si>
  <si>
    <t>PETERSEN, LENA</t>
  </si>
  <si>
    <t>WALLACE, MADISON</t>
  </si>
  <si>
    <t>ALEXANDER, SUMMER</t>
  </si>
  <si>
    <t>PURCELL-HOUCK, KIMBERLY</t>
  </si>
  <si>
    <t>HIPPS, ALEKSI</t>
  </si>
  <si>
    <t>OSBORNE, EMILY</t>
  </si>
  <si>
    <t>PERKINS, KATHERINE</t>
  </si>
  <si>
    <t>WILSON, MEGAN</t>
  </si>
  <si>
    <t>SALGUERO, MARTHA</t>
  </si>
  <si>
    <t>KHANUJA, RAVDEEP</t>
  </si>
  <si>
    <t>HOPKINS, ROBERT</t>
  </si>
  <si>
    <t>WAQAS, MUHAMMAD</t>
  </si>
  <si>
    <t>BOSS, DEVIN</t>
  </si>
  <si>
    <t>HIDA, SVEN</t>
  </si>
  <si>
    <t>LYNCH, STACEY</t>
  </si>
  <si>
    <t>ROSS, TOMISHA</t>
  </si>
  <si>
    <t>NUGENT, KAITLYN</t>
  </si>
  <si>
    <t>BRECHEISEN, JAMES</t>
  </si>
  <si>
    <t>MCCREADY, REBECCA</t>
  </si>
  <si>
    <t>SCOTT, WARREN</t>
  </si>
  <si>
    <t>NUNLEY, JANESE</t>
  </si>
  <si>
    <t>GILLUM, ROGER</t>
  </si>
  <si>
    <t>KWOK, WARREN</t>
  </si>
  <si>
    <t>SHARMA, RUCHIKA</t>
  </si>
  <si>
    <t>CUNNINGHAM, AMANDA</t>
  </si>
  <si>
    <t>SHEPHERD, KRISTEN</t>
  </si>
  <si>
    <t>COLLINS, CHRISTINA</t>
  </si>
  <si>
    <t>SIEGEL, DAVID</t>
  </si>
  <si>
    <t>CULCLAGER, KRATISHA</t>
  </si>
  <si>
    <t>AWAN, HASSAN</t>
  </si>
  <si>
    <t>MUSA, ABDULLAHI</t>
  </si>
  <si>
    <t>SOMMER, BRIAN</t>
  </si>
  <si>
    <t>SISTANI, BOBBAK</t>
  </si>
  <si>
    <t>JILLELLA, ANUSHA</t>
  </si>
  <si>
    <t>ALBASHAIREH, ARWA</t>
  </si>
  <si>
    <t>SETHI, JASKIRAT</t>
  </si>
  <si>
    <t>HANKS, DAVID</t>
  </si>
  <si>
    <t>JOSEPH, MARINA</t>
  </si>
  <si>
    <t>WILSON, CASEY</t>
  </si>
  <si>
    <t>ALBRITTON, BRENTON</t>
  </si>
  <si>
    <t>JACKSON, TARA</t>
  </si>
  <si>
    <t>SHEPHERD, JENA</t>
  </si>
  <si>
    <t>WITHERSPOON, MARIA</t>
  </si>
  <si>
    <t>HOURIEH, SAMI</t>
  </si>
  <si>
    <t>HEWITT, BROOKE</t>
  </si>
  <si>
    <t>JONES, VALORIE</t>
  </si>
  <si>
    <t>TILLIS, SHONA</t>
  </si>
  <si>
    <t>RIFFLE, MATTHEW</t>
  </si>
  <si>
    <t>JONES, KRISTY</t>
  </si>
  <si>
    <t>RAWLINS, SEKOU</t>
  </si>
  <si>
    <t>BELT, MICHAEL</t>
  </si>
  <si>
    <t>JUMA, MONICA</t>
  </si>
  <si>
    <t>HOMAN, SAUNDRA</t>
  </si>
  <si>
    <t>MOSES, AIRSTON</t>
  </si>
  <si>
    <t>GOUCHER, LINDSEY</t>
  </si>
  <si>
    <t>COLE, BRITTNEE</t>
  </si>
  <si>
    <t>HEMPHILL, PATRICIA</t>
  </si>
  <si>
    <t>AVGERIS, JOHN</t>
  </si>
  <si>
    <t>REDDY, RADHA</t>
  </si>
  <si>
    <t>PELLERIN, MICHELLE</t>
  </si>
  <si>
    <t>MILLER, ANNA</t>
  </si>
  <si>
    <t>MILLIGAN, KERRY</t>
  </si>
  <si>
    <t>HART, JENNIFER</t>
  </si>
  <si>
    <t>BARBER, DARICE</t>
  </si>
  <si>
    <t>MAYS, TRACEY</t>
  </si>
  <si>
    <t>PORTER, JASON</t>
  </si>
  <si>
    <t>CAMPBELL, JENNA</t>
  </si>
  <si>
    <t>PIKE, ANGELA</t>
  </si>
  <si>
    <t>SKINNER, KRISTINA</t>
  </si>
  <si>
    <t>HOLYFIELD, ANGELA</t>
  </si>
  <si>
    <t>PACE, KEEANNDASE</t>
  </si>
  <si>
    <t>YOUNG, RICHARD</t>
  </si>
  <si>
    <t>GOOCH, ALLEN</t>
  </si>
  <si>
    <t>DECOLLI, ROBERT</t>
  </si>
  <si>
    <t>TANJORE VENKOBA RAO, VIJOYDEEP</t>
  </si>
  <si>
    <t>PATEL, NIRAV</t>
  </si>
  <si>
    <t>BUXTON, CHARL</t>
  </si>
  <si>
    <t>JAMES, ASHLEY</t>
  </si>
  <si>
    <t>COLLINS, MADISON</t>
  </si>
  <si>
    <t>LABONTE, JOSEPH</t>
  </si>
  <si>
    <t>DAVIS, TARA</t>
  </si>
  <si>
    <t>STEELE, MATTHEW</t>
  </si>
  <si>
    <t>BELL, LOUIS JESSE</t>
  </si>
  <si>
    <t>DELONEY, KRISTINA</t>
  </si>
  <si>
    <t>JENNINGS, NICOLE</t>
  </si>
  <si>
    <t>FARRIS, MICHAEL</t>
  </si>
  <si>
    <t>SLAY, DAVID</t>
  </si>
  <si>
    <t>TREVILLYAN, M</t>
  </si>
  <si>
    <t>COUCH, ASHLEY</t>
  </si>
  <si>
    <t>PEERY, TERRY</t>
  </si>
  <si>
    <t>KING, TYLER</t>
  </si>
  <si>
    <t>MCALISTER, AMANDA</t>
  </si>
  <si>
    <t>PRESTON, JESSICA</t>
  </si>
  <si>
    <t>FOUNTAIN, BAILEY</t>
  </si>
  <si>
    <t>MITCHELL, NANCY</t>
  </si>
  <si>
    <t>RIVERA, ADRIANA</t>
  </si>
  <si>
    <t>NEWHART, HAMILTON</t>
  </si>
  <si>
    <t>LANE, CRYSTAL</t>
  </si>
  <si>
    <t>ALLEN, LOREN</t>
  </si>
  <si>
    <t>JACKSON-LOCKYER, MARGO</t>
  </si>
  <si>
    <t>HARTMAN, RAYMOND</t>
  </si>
  <si>
    <t>MCGUKIN, DONALD</t>
  </si>
  <si>
    <t>JACKSON, HUGH</t>
  </si>
  <si>
    <t>SHIVKUMAR, ABHIJIT</t>
  </si>
  <si>
    <t>HAMM, SHAWN</t>
  </si>
  <si>
    <t>CHRISTOPHER, DANYELLE</t>
  </si>
  <si>
    <t>DEAVER, JEFFREY</t>
  </si>
  <si>
    <t>MARTIN, CONCETTA</t>
  </si>
  <si>
    <t>SABUNWALA, SUHEL</t>
  </si>
  <si>
    <t>AL-SABEQ, BASIL</t>
  </si>
  <si>
    <t>MCCARTY, KELLY</t>
  </si>
  <si>
    <t>DROSTE, LINDSEY</t>
  </si>
  <si>
    <t>TILLMAN-WILSON, QUE'LINDA</t>
  </si>
  <si>
    <t>MARENGO, KELLI</t>
  </si>
  <si>
    <t>DEDEN, DEVON</t>
  </si>
  <si>
    <t>HAWKINS, HEATHER</t>
  </si>
  <si>
    <t>MCDANIEL, LACEY</t>
  </si>
  <si>
    <t>BUTLER, HELEN</t>
  </si>
  <si>
    <t>ACHARYA, AJAY</t>
  </si>
  <si>
    <t>RYALS, AMANDA</t>
  </si>
  <si>
    <t>GUNTURI, RATIKA</t>
  </si>
  <si>
    <t>KAKKERA, KRISHNA SIVA SAI</t>
  </si>
  <si>
    <t>MADANIEH, RAEF</t>
  </si>
  <si>
    <t>MUMMANENI, SUNDEEP</t>
  </si>
  <si>
    <t>RAHMLOW, TARA</t>
  </si>
  <si>
    <t>SHAW, MARTHA</t>
  </si>
  <si>
    <t>NAQVI, SYED</t>
  </si>
  <si>
    <t>CALAWAY, SARAH</t>
  </si>
  <si>
    <t>FLEEGER, JESSICA</t>
  </si>
  <si>
    <t>DILDAY, TAYLOR</t>
  </si>
  <si>
    <t>SCHEIBEL, EMILY</t>
  </si>
  <si>
    <t>SMITH, AMORIE</t>
  </si>
  <si>
    <t>FOSTER, SYDNEY</t>
  </si>
  <si>
    <t>HAYDEN, BENJAMIN</t>
  </si>
  <si>
    <t>DAWOOD-FARAH, FARAH</t>
  </si>
  <si>
    <t>SZYCH, GREGORY</t>
  </si>
  <si>
    <t>ROOKS, JAMES</t>
  </si>
  <si>
    <t>DOWELL, WILLIAM</t>
  </si>
  <si>
    <t>MALHOTRA, SUNIL</t>
  </si>
  <si>
    <t>VERUCCHI, MATTHEW</t>
  </si>
  <si>
    <t>ORAEDU, LINDA</t>
  </si>
  <si>
    <t>IBRAHIM, HUSSAIN</t>
  </si>
  <si>
    <t>DUMPA, VIKRAMADITYA</t>
  </si>
  <si>
    <t>NEALY, ASHTON</t>
  </si>
  <si>
    <t>CULLUM, DRAKE</t>
  </si>
  <si>
    <t>SUTTER, DEEANN</t>
  </si>
  <si>
    <t>DAIGLE, CARLEY</t>
  </si>
  <si>
    <t>PAYNE, LINDA</t>
  </si>
  <si>
    <t>KING, KRISTEN</t>
  </si>
  <si>
    <t>SHOEMAKER, DREW</t>
  </si>
  <si>
    <t>TISCHER, SARA</t>
  </si>
  <si>
    <t>LALANI, SHENEEN</t>
  </si>
  <si>
    <t>VELLANKI, SRUTHI</t>
  </si>
  <si>
    <t>WUDNEH, EDEN</t>
  </si>
  <si>
    <t>POWERS, JORDAN</t>
  </si>
  <si>
    <t>ALQAISI, OMAR</t>
  </si>
  <si>
    <t>POLISETTY, HARIKA</t>
  </si>
  <si>
    <t>ARNOLD, EMILY</t>
  </si>
  <si>
    <t>BURKE, CHRISTI</t>
  </si>
  <si>
    <t>KHAN, ZUBAIR</t>
  </si>
  <si>
    <t>BARBER, PATRICIA</t>
  </si>
  <si>
    <t>MCCRARY, ASHLEY</t>
  </si>
  <si>
    <t>TURLEY, SHOUNDA</t>
  </si>
  <si>
    <t>TURNER, BARBARA</t>
  </si>
  <si>
    <t>BEAN, NEELIE</t>
  </si>
  <si>
    <t>FRAZIER, ARIELLA</t>
  </si>
  <si>
    <t>LEVENGOOD, MALLORI</t>
  </si>
  <si>
    <t>NEUMEIER, CHRISTINA</t>
  </si>
  <si>
    <t>HEMPHILL, EMILY</t>
  </si>
  <si>
    <t>FLORA, SHELLEE</t>
  </si>
  <si>
    <t>CALDARERA, MICHAELA</t>
  </si>
  <si>
    <t>KNOX, CHRISTOPHER</t>
  </si>
  <si>
    <t>BARBE, DAVID</t>
  </si>
  <si>
    <t>JEFFERS, TERESA</t>
  </si>
  <si>
    <t>IRIZARRY, TIMOTHY</t>
  </si>
  <si>
    <t>ZIMMERMAN, ANDREW</t>
  </si>
  <si>
    <t>HOLLOWAY, BARRY</t>
  </si>
  <si>
    <t>CHINASA, MARGIE</t>
  </si>
  <si>
    <t>MCAMIS, MICHELE</t>
  </si>
  <si>
    <t>ALDAYOUB, WISSAM</t>
  </si>
  <si>
    <t>SALEEM, NASIR</t>
  </si>
  <si>
    <t>OLIVER, TAYLOR</t>
  </si>
  <si>
    <t>LISONBEE, JAMES</t>
  </si>
  <si>
    <t>BOAZ, HANNAH</t>
  </si>
  <si>
    <t>JEFFREY, HARRY</t>
  </si>
  <si>
    <t>SANDERS, ROBERT</t>
  </si>
  <si>
    <t>MURPHY, BRANDON</t>
  </si>
  <si>
    <t>LUCKETT, MARC</t>
  </si>
  <si>
    <t>REED, LAURA</t>
  </si>
  <si>
    <t>DREW, DANNY</t>
  </si>
  <si>
    <t>MYERS, SHANNON</t>
  </si>
  <si>
    <t>WLEKLINSKI, DONALD</t>
  </si>
  <si>
    <t>BUSBY, KRISTEN</t>
  </si>
  <si>
    <t>LIU, XIAOLONG</t>
  </si>
  <si>
    <t>KOESY, MIRIAM</t>
  </si>
  <si>
    <t>SMITH, SANDERICKA</t>
  </si>
  <si>
    <t>DANG, LONG</t>
  </si>
  <si>
    <t>CORNELIUS, ELIZABETH</t>
  </si>
  <si>
    <t>ATKINSON, CASSANDRA</t>
  </si>
  <si>
    <t>STANCIL, VICKI</t>
  </si>
  <si>
    <t>TJANDRA, SARIKUN</t>
  </si>
  <si>
    <t>MARIANO, EDWARD</t>
  </si>
  <si>
    <t>ZADA, YASIN</t>
  </si>
  <si>
    <t>ALLEN, KIM</t>
  </si>
  <si>
    <t>MAMIDWAR, MONIKA</t>
  </si>
  <si>
    <t>EDWARDS, MARJORIE</t>
  </si>
  <si>
    <t>CHEN, HONGJIANG</t>
  </si>
  <si>
    <t>LAIN, BRIAN</t>
  </si>
  <si>
    <t>KUYKENDALL, JOYCE</t>
  </si>
  <si>
    <t>HOUART, KHALI</t>
  </si>
  <si>
    <t>HICKMAN, AMY</t>
  </si>
  <si>
    <t>HENAO, JUSTINE</t>
  </si>
  <si>
    <t>CUSHMAN, WILLIAM</t>
  </si>
  <si>
    <t>PURVIS, KENNETH</t>
  </si>
  <si>
    <t>CONEY, L.</t>
  </si>
  <si>
    <t>KONWE, BIELOSE</t>
  </si>
  <si>
    <t>TIMMONS, DUSTIN</t>
  </si>
  <si>
    <t>MCCOY, CHRISTINA</t>
  </si>
  <si>
    <t>SPURGAT, STEPHANIE</t>
  </si>
  <si>
    <t>ISSEH, NAZIH</t>
  </si>
  <si>
    <t>FRY, JONNIE</t>
  </si>
  <si>
    <t>UDEH, HILLARY</t>
  </si>
  <si>
    <t>SAVENKA, TATSIANA</t>
  </si>
  <si>
    <t>ABISAMRA, LAMIA</t>
  </si>
  <si>
    <t>OVERSTREET, CARI</t>
  </si>
  <si>
    <t>WARRINGTON, JAMES</t>
  </si>
  <si>
    <t>PORTER, STEVEN</t>
  </si>
  <si>
    <t>CLARKSTON, KENDELL</t>
  </si>
  <si>
    <t>JOY, PARIJAT</t>
  </si>
  <si>
    <t>REEL, UHRONDA</t>
  </si>
  <si>
    <t>KHAN, ASMA</t>
  </si>
  <si>
    <t>BGOYA, KANEZA</t>
  </si>
  <si>
    <t>MOSER, JONATHAN</t>
  </si>
  <si>
    <t>TAYLOR, WHITNEY</t>
  </si>
  <si>
    <t>WELLMAN, CHRISTINE</t>
  </si>
  <si>
    <t>SMITH, KAYLA</t>
  </si>
  <si>
    <t>DESAI, VAIBHAV</t>
  </si>
  <si>
    <t>RAYMER, CLINT</t>
  </si>
  <si>
    <t>DUNCAN, CHERIE</t>
  </si>
  <si>
    <t>ECKMAN, CHRISTOPHER</t>
  </si>
  <si>
    <t>DUNKIN, MEGAN</t>
  </si>
  <si>
    <t>MILLS, HALEY</t>
  </si>
  <si>
    <t>CLARK, PEYTON</t>
  </si>
  <si>
    <t>SNADER, BRENT</t>
  </si>
  <si>
    <t>WHITE, ROBERT</t>
  </si>
  <si>
    <t>WALLACE, MICHAEL</t>
  </si>
  <si>
    <t>MILSTEAD, CHRISTOPHER</t>
  </si>
  <si>
    <t>TUTT, RICHARD</t>
  </si>
  <si>
    <t>FRANZ, JUSTIN</t>
  </si>
  <si>
    <t>LO, VIVIAN</t>
  </si>
  <si>
    <t>WILLIAMS, BRENDAN</t>
  </si>
  <si>
    <t>DI LULO, KYLIE</t>
  </si>
  <si>
    <t>SULLIVAN, CHRISTINA</t>
  </si>
  <si>
    <t>WINTZ, BRIDGET</t>
  </si>
  <si>
    <t>EJIOFOR, MOSES</t>
  </si>
  <si>
    <t>MOCK, GREGORY</t>
  </si>
  <si>
    <t>ALLAN, KATHERINE</t>
  </si>
  <si>
    <t>BRANDON, KRISTEN</t>
  </si>
  <si>
    <t>MARKELL, EVAN</t>
  </si>
  <si>
    <t>THOMAS, JILL</t>
  </si>
  <si>
    <t>PERMENTER, CARA</t>
  </si>
  <si>
    <t>PIPES, MEGAN</t>
  </si>
  <si>
    <t>BLACKWELL, SADIE</t>
  </si>
  <si>
    <t>COX, AARON</t>
  </si>
  <si>
    <t>MCVAY, ANNE</t>
  </si>
  <si>
    <t>RASWANT, UJJWAL KARAN</t>
  </si>
  <si>
    <t>SATHER, ALEXANDRA</t>
  </si>
  <si>
    <t>GARVIN, JANET</t>
  </si>
  <si>
    <t>HOLLEY, JOSEPH</t>
  </si>
  <si>
    <t>NGUYEN, PHONG</t>
  </si>
  <si>
    <t>OGBEIDE, OSARENREN</t>
  </si>
  <si>
    <t>PULLIAM, JOE</t>
  </si>
  <si>
    <t>PRUETT, KENNETH</t>
  </si>
  <si>
    <t>DADI, NEELAKANTA</t>
  </si>
  <si>
    <t>MEREDITH, NICOLE</t>
  </si>
  <si>
    <t>PATIL, MONALI</t>
  </si>
  <si>
    <t>THOTA, NAGANATH</t>
  </si>
  <si>
    <t>TERRY, JENNIFER</t>
  </si>
  <si>
    <t>TRIPOD, MORGAN</t>
  </si>
  <si>
    <t>EBERHARD, COURTNEY</t>
  </si>
  <si>
    <t>WILSON, ALPHONSO</t>
  </si>
  <si>
    <t>TAYLOR, ERICA</t>
  </si>
  <si>
    <t>DIAZ, TIFFANY</t>
  </si>
  <si>
    <t>WAYMIRE, PATRIC</t>
  </si>
  <si>
    <t>MULKERINS, GEORGIA</t>
  </si>
  <si>
    <t>BOSHEARS, ZOE</t>
  </si>
  <si>
    <t>THURLBY, WILLIAM</t>
  </si>
  <si>
    <t>CHEN, JEFFERY</t>
  </si>
  <si>
    <t>FISCHER, ANDREW</t>
  </si>
  <si>
    <t>SCHMIDT, DAVID</t>
  </si>
  <si>
    <t>CARROUTH, DAVID</t>
  </si>
  <si>
    <t>ELLINGTON, BARBARA</t>
  </si>
  <si>
    <t>ESSNER, KIMBERLY</t>
  </si>
  <si>
    <t>TENKU, KEMENI</t>
  </si>
  <si>
    <t>ALLEN, LAURIE</t>
  </si>
  <si>
    <t>DOERNER, PHILLIP</t>
  </si>
  <si>
    <t>THALAMBEDU, NISHANTH</t>
  </si>
  <si>
    <t>VICK, BRANDON</t>
  </si>
  <si>
    <t>KENNON, BROOKE</t>
  </si>
  <si>
    <t>HARRISON, JORDAN</t>
  </si>
  <si>
    <t>JUSTICE, MELINDA</t>
  </si>
  <si>
    <t>GARDNER, MICHAELA</t>
  </si>
  <si>
    <t>SIMS, LAUREN</t>
  </si>
  <si>
    <t>ABRAHAM, LADLY</t>
  </si>
  <si>
    <t>WEDDLE, JOHN</t>
  </si>
  <si>
    <t>TEE, EMMANUEL</t>
  </si>
  <si>
    <t>TRUMBLE, BRANDON</t>
  </si>
  <si>
    <t>KHAN, SHAN</t>
  </si>
  <si>
    <t>BURKE, REBECCA</t>
  </si>
  <si>
    <t>PATRICK, PAIGE</t>
  </si>
  <si>
    <t>ROBINS, LARRY</t>
  </si>
  <si>
    <t>KHADER, THEKRAYAT</t>
  </si>
  <si>
    <t>PIERCE, CAMRYN</t>
  </si>
  <si>
    <t>DILLARD, LYNDSEY</t>
  </si>
  <si>
    <t>DAVIS, KATELYN</t>
  </si>
  <si>
    <t>SCHMIDT KONEN, CARRIE</t>
  </si>
  <si>
    <t>DROSKE, SUSAN</t>
  </si>
  <si>
    <t>CLARDY, PENNY</t>
  </si>
  <si>
    <t>HUNT, KEIAH</t>
  </si>
  <si>
    <t>LEKKALA, JYOTHIRMAYI</t>
  </si>
  <si>
    <t>BARNETT, WILLIAM</t>
  </si>
  <si>
    <t>PATEL, ABHISHEK</t>
  </si>
  <si>
    <t>SUMMERS, TERESA</t>
  </si>
  <si>
    <t>BATES, RACHEL</t>
  </si>
  <si>
    <t>COX, JENNIFER</t>
  </si>
  <si>
    <t>KING, HELEN</t>
  </si>
  <si>
    <t>FULLER, FELICIA</t>
  </si>
  <si>
    <t>AMARGOS ZAYAS, JEAN</t>
  </si>
  <si>
    <t>WILLIAMS, ANDREA</t>
  </si>
  <si>
    <t>WEST, CARLEE</t>
  </si>
  <si>
    <t>WILLIAMS, SHYMEKA</t>
  </si>
  <si>
    <t>TAYLOR, CHAD</t>
  </si>
  <si>
    <t>PATE, KIMBALL</t>
  </si>
  <si>
    <t>RIZVI, NAHEED</t>
  </si>
  <si>
    <t>WONG, BRIAN</t>
  </si>
  <si>
    <t>P039</t>
  </si>
  <si>
    <t>Primary Care – Pediatric</t>
  </si>
  <si>
    <t>RHODES, LESLIE</t>
  </si>
  <si>
    <t>Adding practitioners to Primary Care- Peds based on the internally credentialed taxonomies that are listed under the Provider Types Taxonomy Crosswalk from the Justification file.</t>
  </si>
  <si>
    <t>MORSE, AMBER</t>
  </si>
  <si>
    <t>BARR, LESLIE</t>
  </si>
  <si>
    <t>HUNTER, CASSANDRA</t>
  </si>
  <si>
    <t>HULS, BRITTANY</t>
  </si>
  <si>
    <t>WALKER, ROLLIE</t>
  </si>
  <si>
    <t>MASRI, ABDELRAHMAN</t>
  </si>
  <si>
    <t>STEPHENS, BRITTANY</t>
  </si>
  <si>
    <t>HADDOCK, HEATHER</t>
  </si>
  <si>
    <t>TONG, ALAN</t>
  </si>
  <si>
    <t>HARTNESS, BIRTHA</t>
  </si>
  <si>
    <t>LINN, MARY</t>
  </si>
  <si>
    <t>REESE, EDWARD</t>
  </si>
  <si>
    <t>GONZALEZ, MISTY</t>
  </si>
  <si>
    <t>SMITH, STARLA</t>
  </si>
  <si>
    <t>BARNETT, MATTHEW</t>
  </si>
  <si>
    <t>GRIFFIN, RODNEY</t>
  </si>
  <si>
    <t>STAMP, JEFFREY</t>
  </si>
  <si>
    <t>GRINDLE, HEATHER</t>
  </si>
  <si>
    <t>STOCKTON, KAYLA</t>
  </si>
  <si>
    <t>REINHART, JEFFREY</t>
  </si>
  <si>
    <t>MORSE, MIRIAM</t>
  </si>
  <si>
    <t>DURRETT, SANDRA</t>
  </si>
  <si>
    <t>MCCLINTOCK, JACOB</t>
  </si>
  <si>
    <t>HUBBARD, JEREMY</t>
  </si>
  <si>
    <t>DRAKE, PAUL</t>
  </si>
  <si>
    <t>HARRISON, DIANNE</t>
  </si>
  <si>
    <t>CROSSKNO, KIMBERLY</t>
  </si>
  <si>
    <t>PATE, MALLORY</t>
  </si>
  <si>
    <t>MEAD, KAMRYN</t>
  </si>
  <si>
    <t>FRISBIE, STEPHANIE</t>
  </si>
  <si>
    <t>FINCK, JOHN</t>
  </si>
  <si>
    <t>ALBEY, MARK</t>
  </si>
  <si>
    <t>ORDONEZ, CONRADO</t>
  </si>
  <si>
    <t>SESSIONS, ATALIE</t>
  </si>
  <si>
    <t>PYBURN, WENDY</t>
  </si>
  <si>
    <t>LITTLE, JESSIE</t>
  </si>
  <si>
    <t>POWERS, DAVID</t>
  </si>
  <si>
    <t>POLLICH, KRISTEN</t>
  </si>
  <si>
    <t>BOWLING, WILLIAM</t>
  </si>
  <si>
    <t>SIMMS, MONA</t>
  </si>
  <si>
    <t>RILEY, KRYSTAL</t>
  </si>
  <si>
    <t>JONES, CAMERON</t>
  </si>
  <si>
    <t>GORDON, ALFRED</t>
  </si>
  <si>
    <t>CUMMINS, JOE</t>
  </si>
  <si>
    <t>COWAN, JAMES</t>
  </si>
  <si>
    <t>STEVENSON, SHARON</t>
  </si>
  <si>
    <t>TOWNSEND, WANDA</t>
  </si>
  <si>
    <t>GULATI, ISH</t>
  </si>
  <si>
    <t>WRAY, GARRETT</t>
  </si>
  <si>
    <t>VANDERBILT, STEVEN</t>
  </si>
  <si>
    <t>BARNETT, DYLAN</t>
  </si>
  <si>
    <t>ESTES, COURTNEY</t>
  </si>
  <si>
    <t>LEWIS, JOHN</t>
  </si>
  <si>
    <t>BERRY, MARTHA</t>
  </si>
  <si>
    <t>SHARP, JAN</t>
  </si>
  <si>
    <t>RENNO, MARKUS</t>
  </si>
  <si>
    <t>ORMAN, LAUREN</t>
  </si>
  <si>
    <t>BHAMARE, TANMAY</t>
  </si>
  <si>
    <t>HANNER, WENDY</t>
  </si>
  <si>
    <t>LUNSFORD, JESSICA</t>
  </si>
  <si>
    <t>EDGAR, STACY</t>
  </si>
  <si>
    <t>WINNINGHAM, CHELSEY</t>
  </si>
  <si>
    <t>SMITH, PAUL</t>
  </si>
  <si>
    <t>PESEK, ROBERT</t>
  </si>
  <si>
    <t>DECKER, KATHLEEN</t>
  </si>
  <si>
    <t>STILL, LINDSAY</t>
  </si>
  <si>
    <t>PRUITT, BROOKE</t>
  </si>
  <si>
    <t>PATIL, NIKITA</t>
  </si>
  <si>
    <t>ELLIS, DESTINEY</t>
  </si>
  <si>
    <t>WATKINS, MELISSA</t>
  </si>
  <si>
    <t>SHARMA, ACHIN</t>
  </si>
  <si>
    <t>WAMPLER, STEVE</t>
  </si>
  <si>
    <t>PATTERSON, KRISTINE</t>
  </si>
  <si>
    <t>HUMBARD, STEPHEN</t>
  </si>
  <si>
    <t>REED, JANET</t>
  </si>
  <si>
    <t>TOSH, BOBBI</t>
  </si>
  <si>
    <t>MADDOX, RYAN</t>
  </si>
  <si>
    <t>DALLIS, LISTA</t>
  </si>
  <si>
    <t>INGRAM, HANNAH</t>
  </si>
  <si>
    <t>DURNER, CORINNE</t>
  </si>
  <si>
    <t>BROTZ, JORDAN</t>
  </si>
  <si>
    <t>ADAMS, CECILIA</t>
  </si>
  <si>
    <t>DAVIS, R</t>
  </si>
  <si>
    <t>CARTER, INGE</t>
  </si>
  <si>
    <t>BECK, DAVID</t>
  </si>
  <si>
    <t>BLASZAK, RICHARD</t>
  </si>
  <si>
    <t>WESTON, SARAH</t>
  </si>
  <si>
    <t>KERR, TASHA</t>
  </si>
  <si>
    <t>PATTEN, LESLIE</t>
  </si>
  <si>
    <t>WILLIAMS, TYNISHA</t>
  </si>
  <si>
    <t>WYRICK, SCOTT</t>
  </si>
  <si>
    <t>HANNON, MARTIN</t>
  </si>
  <si>
    <t>DAUGHERTY, JOHN</t>
  </si>
  <si>
    <t>PATEL, PRAVIN</t>
  </si>
  <si>
    <t>RODA, FERDINAND</t>
  </si>
  <si>
    <t>PEYTON, SHAWN</t>
  </si>
  <si>
    <t>VOGEL, CHRISTINE</t>
  </si>
  <si>
    <t>WADLEY, KRISTINA</t>
  </si>
  <si>
    <t>SCHROEDER, JENNIFER</t>
  </si>
  <si>
    <t>VICE, MARK</t>
  </si>
  <si>
    <t>SELLERS, NYKKIA</t>
  </si>
  <si>
    <t>MERLOCCO, ANTHONY</t>
  </si>
  <si>
    <t>SHOKOUH-AMIRI, SOPHIA</t>
  </si>
  <si>
    <t>WHITED, KRISTY</t>
  </si>
  <si>
    <t>REEVES, LAUREN</t>
  </si>
  <si>
    <t>MONEY, BROOKE</t>
  </si>
  <si>
    <t>BENNETT, TIFFANY</t>
  </si>
  <si>
    <t>JAMES, KENNEDI</t>
  </si>
  <si>
    <t>MAECHLER, DANIEL</t>
  </si>
  <si>
    <t>MCDOUGALL KESTNER, VALERIE</t>
  </si>
  <si>
    <t>DEYOUNG, BRUCE</t>
  </si>
  <si>
    <t>CAMPBELL, GERALDINE</t>
  </si>
  <si>
    <t>WHITE, EDWARD</t>
  </si>
  <si>
    <t>SAKARIYA, GEETABAHEN</t>
  </si>
  <si>
    <t>HARRIS, APRIL</t>
  </si>
  <si>
    <t>HARRIS, AARON</t>
  </si>
  <si>
    <t>RITCHIE, ROBERT</t>
  </si>
  <si>
    <t>LAWRENCE, BILL</t>
  </si>
  <si>
    <t>VELEZ, DEBRA</t>
  </si>
  <si>
    <t>REAGAN, KIMBERLY</t>
  </si>
  <si>
    <t>JOSHI, KRITTIKA</t>
  </si>
  <si>
    <t>SPARKS, LAURA</t>
  </si>
  <si>
    <t>CATT, CHELSEY</t>
  </si>
  <si>
    <t>TOMPKINS, GEORGE</t>
  </si>
  <si>
    <t>BRANCH, HAROLD</t>
  </si>
  <si>
    <t>NAYLES, LEE</t>
  </si>
  <si>
    <t>GASTON, CALEB</t>
  </si>
  <si>
    <t>MENLEY, BARBARA</t>
  </si>
  <si>
    <t>PATTERSON, MEGAN</t>
  </si>
  <si>
    <t>DAVIS, FRANKLIN</t>
  </si>
  <si>
    <t>COBB, NATALIE</t>
  </si>
  <si>
    <t>ELDERS, JOHN</t>
  </si>
  <si>
    <t>BURCH, MARY</t>
  </si>
  <si>
    <t>RAI, PARUL</t>
  </si>
  <si>
    <t>WILLIAMS, BRITTANY</t>
  </si>
  <si>
    <t>HOWARD, SANDRA</t>
  </si>
  <si>
    <t>FONER, MELISSA</t>
  </si>
  <si>
    <t>RUSSELL, TIERNEY</t>
  </si>
  <si>
    <t>KINCANNON, JAY</t>
  </si>
  <si>
    <t>PRODHAN, PARTHAK</t>
  </si>
  <si>
    <t>HAYNES, WILLIAM</t>
  </si>
  <si>
    <t>COWARD, LATOYA</t>
  </si>
  <si>
    <t>AWAD, SAMAH</t>
  </si>
  <si>
    <t>TODD, EMILY</t>
  </si>
  <si>
    <t>SCOTT, MARK</t>
  </si>
  <si>
    <t>BRANDON, MATTHEW</t>
  </si>
  <si>
    <t>KERLEY, LESA</t>
  </si>
  <si>
    <t>BOLLINGER, ALEXA</t>
  </si>
  <si>
    <t>BARNES, VANESSA</t>
  </si>
  <si>
    <t>SHELTON, ASHLEY</t>
  </si>
  <si>
    <t>PAYNE, JACKSON</t>
  </si>
  <si>
    <t>SUBRAMANIUM, ANANDARAJ</t>
  </si>
  <si>
    <t>FITTS, SHERRIE</t>
  </si>
  <si>
    <t>PARASHAR, NIRBHAY</t>
  </si>
  <si>
    <t>MCCOMBS, DAVID</t>
  </si>
  <si>
    <t>JOINER, PRISCILLA</t>
  </si>
  <si>
    <t>TOLLETT, SUNNI</t>
  </si>
  <si>
    <t>BROWN, CHRYSTAL</t>
  </si>
  <si>
    <t>TUCKER, ROBERT</t>
  </si>
  <si>
    <t>WILLIS, WILLIAM</t>
  </si>
  <si>
    <t>OAKES, LUTHER</t>
  </si>
  <si>
    <t>HILL, RHONDA</t>
  </si>
  <si>
    <t>SWINGER, MARTINA</t>
  </si>
  <si>
    <t>KRISELL, GARRETT</t>
  </si>
  <si>
    <t>FLAHERTY, RYAN</t>
  </si>
  <si>
    <t>SOLLEY, ANNA</t>
  </si>
  <si>
    <t>MCNEAL, MAEGAN</t>
  </si>
  <si>
    <t>SUNEELA, GOTTUMUKKALA</t>
  </si>
  <si>
    <t>NIMMO, TERESA</t>
  </si>
  <si>
    <t>MCGUINNESS, JOSEPH</t>
  </si>
  <si>
    <t>LINDSEY, JOSHUA</t>
  </si>
  <si>
    <t>HIEGEL, KEVIN</t>
  </si>
  <si>
    <t>NETHERLAND, CLINTON</t>
  </si>
  <si>
    <t>DELANEY, NICOLE</t>
  </si>
  <si>
    <t>DEEL, MATTHEW</t>
  </si>
  <si>
    <t>WEAVER, DENNIS</t>
  </si>
  <si>
    <t>NEWEY, CHELSEA</t>
  </si>
  <si>
    <t>WORTHAM, RICHELLE</t>
  </si>
  <si>
    <t>MURCHISON, LAUREN</t>
  </si>
  <si>
    <t>GRAY, ADAM</t>
  </si>
  <si>
    <t>JOHNSTON, KENNETH</t>
  </si>
  <si>
    <t>WILLIAMS, NANCY</t>
  </si>
  <si>
    <t>LAWRENCE, GEORGE</t>
  </si>
  <si>
    <t>EMERSON, KIMBERLY</t>
  </si>
  <si>
    <t>SYMONS, NADINE</t>
  </si>
  <si>
    <t>CHURCHILL, JEANNE</t>
  </si>
  <si>
    <t>GRAHAM, STACY</t>
  </si>
  <si>
    <t>BROWN, JOSEPH</t>
  </si>
  <si>
    <t>THORNSBERRY, JONATHAN</t>
  </si>
  <si>
    <t>KEMP, JUSTIN</t>
  </si>
  <si>
    <t>THOMAS, DANIELLE</t>
  </si>
  <si>
    <t>TILLY, COLLETTE</t>
  </si>
  <si>
    <t>FROESCHLE, JASON</t>
  </si>
  <si>
    <t>RIELS, MADELYN</t>
  </si>
  <si>
    <t>DULOWSKI, WOJCIECH</t>
  </si>
  <si>
    <t>DANG, BAO</t>
  </si>
  <si>
    <t>BOYD, KATHRYN</t>
  </si>
  <si>
    <t>CROUCH, MATTHEW</t>
  </si>
  <si>
    <t>HARGRAVE, MARLO</t>
  </si>
  <si>
    <t>ROBNETT, RHONDA</t>
  </si>
  <si>
    <t>SHAW, ANNA</t>
  </si>
  <si>
    <t>DUGGER, JOSEPH</t>
  </si>
  <si>
    <t>HEKMATPOUR, ERIN</t>
  </si>
  <si>
    <t>DALBY, STEPHEN</t>
  </si>
  <si>
    <t>NELSON, JIMARIE</t>
  </si>
  <si>
    <t>BROWNING, ELIZABETH</t>
  </si>
  <si>
    <t>FREEMAN, AMY</t>
  </si>
  <si>
    <t>SARNA, PAUL</t>
  </si>
  <si>
    <t>MARTINDALE, CHRISTAL</t>
  </si>
  <si>
    <t>HOWERTON, WILLA</t>
  </si>
  <si>
    <t>SPLINTER, JOSHUA</t>
  </si>
  <si>
    <t>FITZHUGH, WELLESLEY</t>
  </si>
  <si>
    <t>MCGEE, BRITTANY</t>
  </si>
  <si>
    <t>PAYNE, SHELLEY</t>
  </si>
  <si>
    <t>BUTLER, CLINT</t>
  </si>
  <si>
    <t>BISHOP, ROBERT</t>
  </si>
  <si>
    <t>BEINEMAN, TONYA</t>
  </si>
  <si>
    <t>MCNAMARA, TIMOTHY</t>
  </si>
  <si>
    <t>WINFORD, AMANDA</t>
  </si>
  <si>
    <t>Adding practitioners to Primary Care- Peds based on the internally credentialed taxonomies that are listed under the Provider Types Taxonomy Crosswalk from the Justification file., Adding practitioners to Primary Care- Peds based on the internally credentialed taxonomies that are listed under the Provider Types Taxonomy Crosswalk from the Justification file.</t>
  </si>
  <si>
    <t>BLOCK, JOHN</t>
  </si>
  <si>
    <t>ELROD, JENNY</t>
  </si>
  <si>
    <t>TABB, LESLIE</t>
  </si>
  <si>
    <t>SMITH, JAY</t>
  </si>
  <si>
    <t>KUYKENDALL, SCOTT</t>
  </si>
  <si>
    <t>BEARD, MICHAEL</t>
  </si>
  <si>
    <t>THRONEBERRY, JAMES</t>
  </si>
  <si>
    <t>DANIEL, AMY</t>
  </si>
  <si>
    <t>HUDSON, EVELYN</t>
  </si>
  <si>
    <t>SPEARS, KATHERINE</t>
  </si>
  <si>
    <t>CARTER, JAMES</t>
  </si>
  <si>
    <t>JORDAN, CLAUDIA</t>
  </si>
  <si>
    <t>FRISBIE, BRENDA</t>
  </si>
  <si>
    <t>POST, PETER</t>
  </si>
  <si>
    <t>SHEEN, ANNE</t>
  </si>
  <si>
    <t>CARMICAL, KATELYN</t>
  </si>
  <si>
    <t>FERGUSON, ROBERT</t>
  </si>
  <si>
    <t>REED-WASHINGTON, RAQUEL</t>
  </si>
  <si>
    <t>SALMON, CLIFTON</t>
  </si>
  <si>
    <t>ZINI, JAMES</t>
  </si>
  <si>
    <t>BLEDSOE, MARY</t>
  </si>
  <si>
    <t>SNOWDEN, JESSICA</t>
  </si>
  <si>
    <t>MENARD, JOHN</t>
  </si>
  <si>
    <t>HESTER, ALLISON</t>
  </si>
  <si>
    <t>KENNEDY, ELICIA</t>
  </si>
  <si>
    <t>CRAWFORD, BRENDAN</t>
  </si>
  <si>
    <t>HODGES, PAMELA</t>
  </si>
  <si>
    <t>BIRD, LINDSEY</t>
  </si>
  <si>
    <t>TEER, EMILY</t>
  </si>
  <si>
    <t>GODDARD, COLLEEN</t>
  </si>
  <si>
    <t>JONES, KIZMET</t>
  </si>
  <si>
    <t>LEATHERWOOD, CYNTHIA</t>
  </si>
  <si>
    <t>KISTNER, ERIN</t>
  </si>
  <si>
    <t>DUKE, JOHN</t>
  </si>
  <si>
    <t>KIRKLAND, ALLAN</t>
  </si>
  <si>
    <t>LIEBELT, ERICA</t>
  </si>
  <si>
    <t>FALWELL, KEVIN</t>
  </si>
  <si>
    <t>JAMES, LAURA</t>
  </si>
  <si>
    <t>PHILLIPS, JACQUELINE</t>
  </si>
  <si>
    <t>JOHNSON, GIL</t>
  </si>
  <si>
    <t>PARSLEY, AARON</t>
  </si>
  <si>
    <t>VORIS, JUSTIN</t>
  </si>
  <si>
    <t>JENNEWINE, EMILY</t>
  </si>
  <si>
    <t>HOLMAN-ALLGOOD, IJANAE</t>
  </si>
  <si>
    <t>NEWTON, SAMUEL</t>
  </si>
  <si>
    <t>WOLFE, ERIC</t>
  </si>
  <si>
    <t>IRBY, ELIZABETH</t>
  </si>
  <si>
    <t>MUSE, KATOSHA</t>
  </si>
  <si>
    <t>WARD, KELLEY</t>
  </si>
  <si>
    <t>HARTWIG, HILARY</t>
  </si>
  <si>
    <t>BRYAN, ELIZABETH</t>
  </si>
  <si>
    <t>TORRANCE-WILLIAMS, BRIDGETTE</t>
  </si>
  <si>
    <t>MANNING, AMY</t>
  </si>
  <si>
    <t>SKAINS, MOLLY</t>
  </si>
  <si>
    <t>LEE, RON</t>
  </si>
  <si>
    <t>KILLOUGH, TIMOTHY</t>
  </si>
  <si>
    <t>BRANNON, GRETCHEN</t>
  </si>
  <si>
    <t>ALBEZARGAN, FATIN</t>
  </si>
  <si>
    <t>KEITH, STEPHEN</t>
  </si>
  <si>
    <t>CARLISLE, ANNETTE</t>
  </si>
  <si>
    <t>RATLIFF, KELLY</t>
  </si>
  <si>
    <t>DAVIS, PAUL</t>
  </si>
  <si>
    <t>DICUS, MARGARET</t>
  </si>
  <si>
    <t>CHISM, JESSICA</t>
  </si>
  <si>
    <t>NADA, ARWA</t>
  </si>
  <si>
    <t>VANACORE, VICTORIA</t>
  </si>
  <si>
    <t>WILKINS, JOHN</t>
  </si>
  <si>
    <t>HAYMORE, JANET</t>
  </si>
  <si>
    <t>UNGER, ADRIAN</t>
  </si>
  <si>
    <t>DIXON, MALLORY</t>
  </si>
  <si>
    <t>NANDAMURU, PRAVEEN</t>
  </si>
  <si>
    <t>SHEPARD, MELISSA</t>
  </si>
  <si>
    <t>BYRUM, JAMES</t>
  </si>
  <si>
    <t>HATESOHL, STANLEY</t>
  </si>
  <si>
    <t>SCURLOCK, AMY</t>
  </si>
  <si>
    <t>TAMEEZ, IFFAT</t>
  </si>
  <si>
    <t>BOSOLD, JEFFREY</t>
  </si>
  <si>
    <t>COLLADO, JERRY</t>
  </si>
  <si>
    <t>COLEMAN, CAROLYN</t>
  </si>
  <si>
    <t>BROCKMAN, TYLER</t>
  </si>
  <si>
    <t>WILLIAMSON, RIKI</t>
  </si>
  <si>
    <t>PETERSON, MARK</t>
  </si>
  <si>
    <t>WHORTON, GREGORY</t>
  </si>
  <si>
    <t>SPADES, SEBASTIAN</t>
  </si>
  <si>
    <t>QURESHI, SHOAIB</t>
  </si>
  <si>
    <t>WATSON, ROBERT</t>
  </si>
  <si>
    <t>HENDERSON, MICHELLE</t>
  </si>
  <si>
    <t>JERKINS, MICHAEL</t>
  </si>
  <si>
    <t>JONES, RAINIE</t>
  </si>
  <si>
    <t>GUNTER, JULIE</t>
  </si>
  <si>
    <t>TARRANT, LACI</t>
  </si>
  <si>
    <t>BUTLER, PORSHA</t>
  </si>
  <si>
    <t>SMITH-YOUNG, JAMILA</t>
  </si>
  <si>
    <t>BATY, TIMOTHY</t>
  </si>
  <si>
    <t>DENNEY, KAYLA</t>
  </si>
  <si>
    <t>PRICE, KELSI</t>
  </si>
  <si>
    <t>DAVIDSON, DANIEL</t>
  </si>
  <si>
    <t>BONNER, MARK</t>
  </si>
  <si>
    <t>MELNYK, OKSANA</t>
  </si>
  <si>
    <t>CLEMENTS-FORE, AMBER</t>
  </si>
  <si>
    <t>DEL VALLE PENELLA, ANA</t>
  </si>
  <si>
    <t>VALIANI, SALIMA</t>
  </si>
  <si>
    <t>SWAIN, ANDREA</t>
  </si>
  <si>
    <t>TOMAN, MELISSA</t>
  </si>
  <si>
    <t>POLLOCK, BAILEY</t>
  </si>
  <si>
    <t>HARRELL, LANCE</t>
  </si>
  <si>
    <t>HAMPTON, SALLIE</t>
  </si>
  <si>
    <t>HARRIS, KAY</t>
  </si>
  <si>
    <t>MORRIS, MEGHAN</t>
  </si>
  <si>
    <t>WINSTON, PAMELA</t>
  </si>
  <si>
    <t>KINCANNON, CHRISTINA</t>
  </si>
  <si>
    <t>GARDNER, MICHELLE</t>
  </si>
  <si>
    <t>JONES, TRAVISHA</t>
  </si>
  <si>
    <t>COURTNEY, ASHLEAH</t>
  </si>
  <si>
    <t>WILLIAMS, VALINA</t>
  </si>
  <si>
    <t>MCMURRY, JOYCE</t>
  </si>
  <si>
    <t>BALLARD, CARA</t>
  </si>
  <si>
    <t>HOOD, O KINCANNON</t>
  </si>
  <si>
    <t>DAVIDSON, CHARLES</t>
  </si>
  <si>
    <t>HARRINGTON, GREGORY</t>
  </si>
  <si>
    <t>WIGGINS, STEPHANIE</t>
  </si>
  <si>
    <t>HART, KALA</t>
  </si>
  <si>
    <t>WILLIAMSON, JONATHAN</t>
  </si>
  <si>
    <t>OLDS, MELINDA</t>
  </si>
  <si>
    <t>WAH, JOHN</t>
  </si>
  <si>
    <t>LEA, JARRETT</t>
  </si>
  <si>
    <t>ROOK, ROBERT</t>
  </si>
  <si>
    <t>HASHMI, ABEER</t>
  </si>
  <si>
    <t>HILL, MELINDA</t>
  </si>
  <si>
    <t>HARDIN, DANIEL</t>
  </si>
  <si>
    <t>LANE, JOHN</t>
  </si>
  <si>
    <t>MCMILLON, JAKE</t>
  </si>
  <si>
    <t>ODIASE, ELAINE</t>
  </si>
  <si>
    <t>RODDY, KIMBERLY</t>
  </si>
  <si>
    <t>BATES, RONALD</t>
  </si>
  <si>
    <t>TEWAR, SHRUTI</t>
  </si>
  <si>
    <t>CUMMENS, KATHLEEN</t>
  </si>
  <si>
    <t>RHODES, KYLIE</t>
  </si>
  <si>
    <t>TAYLOR, MAXWELL</t>
  </si>
  <si>
    <t>CAWIEZELL, STEPHANNIE</t>
  </si>
  <si>
    <t>HAYDAR, ALI</t>
  </si>
  <si>
    <t>PACE, STEPHEN</t>
  </si>
  <si>
    <t>HERRERA, CHASE</t>
  </si>
  <si>
    <t>KARMAS, SAMANTHA</t>
  </si>
  <si>
    <t>HARVEY, JERRY</t>
  </si>
  <si>
    <t>DUNHAM, JOHN</t>
  </si>
  <si>
    <t>FARRAR, HENRY</t>
  </si>
  <si>
    <t>OGU, UGOCHI</t>
  </si>
  <si>
    <t>PATTERSON, MELINDA</t>
  </si>
  <si>
    <t>ROGERS, MARGARET</t>
  </si>
  <si>
    <t>RICHARD, SAMANTHA</t>
  </si>
  <si>
    <t>BEACHAM, LINDSAY</t>
  </si>
  <si>
    <t>WADDELL, CARLY</t>
  </si>
  <si>
    <t>SAVAGE, BRIAN</t>
  </si>
  <si>
    <t>HAYES, BURTON</t>
  </si>
  <si>
    <t>WALSH, BENJAMIN</t>
  </si>
  <si>
    <t>THOMPSON, BARRY</t>
  </si>
  <si>
    <t>GOODMAN, ALLYSON</t>
  </si>
  <si>
    <t>COOK, KATHLYN</t>
  </si>
  <si>
    <t>MILLICAN, WHITNEY</t>
  </si>
  <si>
    <t>HARRIS, BREANNA</t>
  </si>
  <si>
    <t>SHUFFIELD, ASHLEY</t>
  </si>
  <si>
    <t>DUGAS, JULIANNE</t>
  </si>
  <si>
    <t>WEST, TIMBI</t>
  </si>
  <si>
    <t>ASHFORD, SHANE</t>
  </si>
  <si>
    <t>HAJI, MADIHA</t>
  </si>
  <si>
    <t>DYE, ALYSSA</t>
  </si>
  <si>
    <t>MCCRARY, SHERRY</t>
  </si>
  <si>
    <t>SAWYER, DANA</t>
  </si>
  <si>
    <t>MALCA-PASTAKIA, JESSICA</t>
  </si>
  <si>
    <t>HELLUMS, KAYLA</t>
  </si>
  <si>
    <t>BELL, BRIAN</t>
  </si>
  <si>
    <t>CHU, VICTOR</t>
  </si>
  <si>
    <t>LIPSMEYER, KEITH</t>
  </si>
  <si>
    <t>MURPHY, CYNTHIA</t>
  </si>
  <si>
    <t>PERRY, JENNIFER</t>
  </si>
  <si>
    <t>SEBASTIAN, ANDREA</t>
  </si>
  <si>
    <t>RIDENOUR, FRANCES</t>
  </si>
  <si>
    <t>BEENE, BLAYNE</t>
  </si>
  <si>
    <t>PARBHOO, MUKTI</t>
  </si>
  <si>
    <t>JONES, CLARA</t>
  </si>
  <si>
    <t>BAKER, JOVAN</t>
  </si>
  <si>
    <t>LAKHA, VIVEK</t>
  </si>
  <si>
    <t>SWAIN, JILLIAN</t>
  </si>
  <si>
    <t>RANA, JAVED</t>
  </si>
  <si>
    <t>NELSON, JOSEPH</t>
  </si>
  <si>
    <t>PUSATERI, SCOTT</t>
  </si>
  <si>
    <t>BEVILL, GARY</t>
  </si>
  <si>
    <t>ARYA, KAPIL</t>
  </si>
  <si>
    <t>DEERE, DEBORAH</t>
  </si>
  <si>
    <t>GORE, GLENDA</t>
  </si>
  <si>
    <t>WIGLEY, MARY</t>
  </si>
  <si>
    <t>STONE, WILLIAM</t>
  </si>
  <si>
    <t>HOPSON, DEANNA</t>
  </si>
  <si>
    <t>TILLEY, ROGER</t>
  </si>
  <si>
    <t>CLARK, NICHOLE</t>
  </si>
  <si>
    <t>HARRIS, RYAN</t>
  </si>
  <si>
    <t>GOFORTH, CHRISTY</t>
  </si>
  <si>
    <t>TWIST, HOPE</t>
  </si>
  <si>
    <t>KEETON, MELLISSA</t>
  </si>
  <si>
    <t>BAGWELL, MICHAEL</t>
  </si>
  <si>
    <t>MCGHEE, LINDA</t>
  </si>
  <si>
    <t>ROBINSON, MICHELLE</t>
  </si>
  <si>
    <t>SYLVESTER, SARAH</t>
  </si>
  <si>
    <t>SMITH, VIRGINIA</t>
  </si>
  <si>
    <t>BRADFORD, NATALIE</t>
  </si>
  <si>
    <t>DAY, AMANDA</t>
  </si>
  <si>
    <t>MERRIMAN, JOSHUA</t>
  </si>
  <si>
    <t>ALHADDAD, ZINA</t>
  </si>
  <si>
    <t>WOOD, MATTHEW</t>
  </si>
  <si>
    <t>OCHOA, TABITHA</t>
  </si>
  <si>
    <t>CESARSKI, KAYLIN</t>
  </si>
  <si>
    <t>PHILLIPS-SHARKEY, MIKAIL</t>
  </si>
  <si>
    <t>FINKEL, TERRI</t>
  </si>
  <si>
    <t>IBRAHIM, SUSAN</t>
  </si>
  <si>
    <t>WASHER, LYDIA</t>
  </si>
  <si>
    <t>IRELAND, BRITTANI</t>
  </si>
  <si>
    <t>THORNE, SANDRA</t>
  </si>
  <si>
    <t>TROILLETT, ASHLEY</t>
  </si>
  <si>
    <t>MERRICK, JASON</t>
  </si>
  <si>
    <t>WOODRUFF, SARAH</t>
  </si>
  <si>
    <t>NAPIER, SHARON</t>
  </si>
  <si>
    <t>CATHCART, EVELYN</t>
  </si>
  <si>
    <t>HASE-LIPTON, VIVIAN</t>
  </si>
  <si>
    <t>FRY, EMILY</t>
  </si>
  <si>
    <t>RAMSEY, TERESA</t>
  </si>
  <si>
    <t>ESTESS, SARAH</t>
  </si>
  <si>
    <t>PILLOW, JAMES</t>
  </si>
  <si>
    <t>DUPUIS, GREGORY</t>
  </si>
  <si>
    <t>TREECE, BRANNON</t>
  </si>
  <si>
    <t>HO, STEPHANIE</t>
  </si>
  <si>
    <t>GARNER, TONI</t>
  </si>
  <si>
    <t>GREEN, TARA</t>
  </si>
  <si>
    <t>TAPPAN, WHITNEY</t>
  </si>
  <si>
    <t>FORD, STEPHANIE</t>
  </si>
  <si>
    <t>BEVILL, LOGAN</t>
  </si>
  <si>
    <t>HICKS, TRENT</t>
  </si>
  <si>
    <t>CURTIS, DEANNA</t>
  </si>
  <si>
    <t>CHU, MARCUS</t>
  </si>
  <si>
    <t>BEENE, CHERYL</t>
  </si>
  <si>
    <t>PECKAT, WILLIAM</t>
  </si>
  <si>
    <t>ONCKEN, VICKY</t>
  </si>
  <si>
    <t>HANKS-CLARK, ELIZABETH</t>
  </si>
  <si>
    <t>WALKER, TAMARIO</t>
  </si>
  <si>
    <t>LAWSON, RYAN</t>
  </si>
  <si>
    <t>HENBEST, JACQUELINE</t>
  </si>
  <si>
    <t>SPEER, LISA</t>
  </si>
  <si>
    <t>DEAL, VICTORIA</t>
  </si>
  <si>
    <t>DICKERSON, EMILY</t>
  </si>
  <si>
    <t>SEME, MELISSA</t>
  </si>
  <si>
    <t>FIEDOREK, STEPHEN</t>
  </si>
  <si>
    <t>DUCH, AMANDA</t>
  </si>
  <si>
    <t>WILLIS, CHARLOTTE</t>
  </si>
  <si>
    <t>METCALF, STEPHANIE</t>
  </si>
  <si>
    <t>PENISTER, RAYNA</t>
  </si>
  <si>
    <t>GRUENBERG, BLAKE</t>
  </si>
  <si>
    <t>WOOTEN, GEORGIA</t>
  </si>
  <si>
    <t>NABORS, DEANNA</t>
  </si>
  <si>
    <t>SHREVE, MARILOU</t>
  </si>
  <si>
    <t>SPANOS, WENDY</t>
  </si>
  <si>
    <t>TRAUTH, LYDIA</t>
  </si>
  <si>
    <t>SLUDER, VANESSA</t>
  </si>
  <si>
    <t>BRIXEY, JONATHAN</t>
  </si>
  <si>
    <t>PATTERSON, AMY</t>
  </si>
  <si>
    <t>BECK, NATAILLE</t>
  </si>
  <si>
    <t>YINGLING, MARISA</t>
  </si>
  <si>
    <t>PHILLIPS, MICHELLE</t>
  </si>
  <si>
    <t>Adding practitioners to Primary Care- Peds based on the internally credentialed taxonomies that are listed under the Provider Types Taxonomy Crosswalk from the Justification file., Adding practitioners to Primary Care- Peds based on the internally credentialed taxonomies that are listed under the Provider Types Taxonomy Crosswalk from the Justification file., Adding practitioners to Primary Care- Peds based on the internally credentialed taxonomies that are listed under the Provider Types Taxonomy Crosswalk from the Justification file., Adding practitioners to Primary Care- Peds based on the internally credentialed taxonomies that are listed under the Provider Types Taxonomy Crosswalk from the Justification file.</t>
  </si>
  <si>
    <t>CHRISTENSEN, EMILY</t>
  </si>
  <si>
    <t>MELLOW, KATHERINE</t>
  </si>
  <si>
    <t>CAVANEAU, JERRY</t>
  </si>
  <si>
    <t>MEREDITH, JAMES</t>
  </si>
  <si>
    <t>VO, DANIEL</t>
  </si>
  <si>
    <t>SANFORD, GARRETT</t>
  </si>
  <si>
    <t>JONES, KYLE</t>
  </si>
  <si>
    <t>FREEMAN, SAMANTHA</t>
  </si>
  <si>
    <t>AUTRY, CHEYANNE</t>
  </si>
  <si>
    <t>GOETZ, ELIZABETH</t>
  </si>
  <si>
    <t>ABERNATHY, BRYAN</t>
  </si>
  <si>
    <t>CONNELLEY, JAY</t>
  </si>
  <si>
    <t>RIZZO, BROOKS</t>
  </si>
  <si>
    <t>ADAMS, CRYSTAL</t>
  </si>
  <si>
    <t>GIBBONS, NORA</t>
  </si>
  <si>
    <t>WOODARD, TIFFANY</t>
  </si>
  <si>
    <t>BAXENDALE, HANNA</t>
  </si>
  <si>
    <t>FRYE, JULIA</t>
  </si>
  <si>
    <t>STANGELAND, BRIANNA</t>
  </si>
  <si>
    <t>TERRY, HEATHER</t>
  </si>
  <si>
    <t>BERNER, GARY</t>
  </si>
  <si>
    <t>MCWILLIAMS, JAMES</t>
  </si>
  <si>
    <t>TROUTT, MICHAEL</t>
  </si>
  <si>
    <t>KENT, KLARK</t>
  </si>
  <si>
    <t>FRANCISCO, JODY</t>
  </si>
  <si>
    <t>FLOWERS, MARTHA</t>
  </si>
  <si>
    <t>SCHEIDLER, STEFAN</t>
  </si>
  <si>
    <t>MANSFIELD, CHELSEA</t>
  </si>
  <si>
    <t>PINION, DONNA</t>
  </si>
  <si>
    <t>CHARLTON, MICHEAL</t>
  </si>
  <si>
    <t>COCKERELL, JOHN</t>
  </si>
  <si>
    <t>JACKSON, REGINA</t>
  </si>
  <si>
    <t>BARRANTES, NADJA</t>
  </si>
  <si>
    <t>HODGES, MICHAEL</t>
  </si>
  <si>
    <t>IRISH-CLARDY, KATHERINE</t>
  </si>
  <si>
    <t>HOUSE, ASHLEY</t>
  </si>
  <si>
    <t>MITCHELL, RACHEAL</t>
  </si>
  <si>
    <t>CANNON, VERONICA</t>
  </si>
  <si>
    <t>REED, TERESA</t>
  </si>
  <si>
    <t>SHUMATE, HALEIGH</t>
  </si>
  <si>
    <t>HARPER, GARY</t>
  </si>
  <si>
    <t>JONES, KELLY</t>
  </si>
  <si>
    <t>GATLIN, SCOTT</t>
  </si>
  <si>
    <t>CASTLE, SHANNON</t>
  </si>
  <si>
    <t>LAMON, MELISSA</t>
  </si>
  <si>
    <t>SPEARS, JENNIE</t>
  </si>
  <si>
    <t>DAVIS, KED</t>
  </si>
  <si>
    <t>THOMPSON, STEPHANIE</t>
  </si>
  <si>
    <t>IBALE, JUSTINE EVE MARIL</t>
  </si>
  <si>
    <t>HAYWOOD, VANESSA</t>
  </si>
  <si>
    <t>WIMBERLY, JUSTIN</t>
  </si>
  <si>
    <t>WALTON, APPLE</t>
  </si>
  <si>
    <t>MCMAHON, WILLIAM</t>
  </si>
  <si>
    <t>JONES, ASHLEY</t>
  </si>
  <si>
    <t>MARCH, MAKAYLA</t>
  </si>
  <si>
    <t>LOFTON, JASON</t>
  </si>
  <si>
    <t>HALE, AMY</t>
  </si>
  <si>
    <t>MEARS, MANDI</t>
  </si>
  <si>
    <t>ROBERDS, AARON</t>
  </si>
  <si>
    <t>FORD, ROBERT</t>
  </si>
  <si>
    <t>BRUMLEY, ERICA</t>
  </si>
  <si>
    <t>HEINER, KAYELINDA</t>
  </si>
  <si>
    <t>WUST, CHRISTY</t>
  </si>
  <si>
    <t>JOHNSON, NEKESHA</t>
  </si>
  <si>
    <t>SHEETS, KIM</t>
  </si>
  <si>
    <t>JACKSON, CHARLES</t>
  </si>
  <si>
    <t>THOMPSON, BOBBY</t>
  </si>
  <si>
    <t>LANGSTON, THOMAS</t>
  </si>
  <si>
    <t>BRANNAN, KATHRYN</t>
  </si>
  <si>
    <t>ASH, CONNIE</t>
  </si>
  <si>
    <t>HADAWAY, ALMER</t>
  </si>
  <si>
    <t>RANABOTHU, SARITHA</t>
  </si>
  <si>
    <t>CHESHIER, JAMES</t>
  </si>
  <si>
    <t>This provider is a pediatric Surgeon</t>
  </si>
  <si>
    <t>BISHOP, NATALIE</t>
  </si>
  <si>
    <t>BAKER, REBECCA</t>
  </si>
  <si>
    <t>TENNANT, JEAN</t>
  </si>
  <si>
    <t>HORN, MORGAN</t>
  </si>
  <si>
    <t>WRIGHT, RANDI</t>
  </si>
  <si>
    <t>GARCIA, KRISTIN</t>
  </si>
  <si>
    <t>RAMIREZ, ALEJANDRO</t>
  </si>
  <si>
    <t>CLOUSE, LANCE</t>
  </si>
  <si>
    <t>DUNAWAY, GEOFFREY</t>
  </si>
  <si>
    <t>WILLIAMS, ROBERT</t>
  </si>
  <si>
    <t>FREEMAN, HALEY</t>
  </si>
  <si>
    <t>THOMPSON, KELLI</t>
  </si>
  <si>
    <t>NELSON, DAVID</t>
  </si>
  <si>
    <t>PHILLIPS, DEIRDRE</t>
  </si>
  <si>
    <t>MCCOMMON, NICOLE</t>
  </si>
  <si>
    <t>TOWELL, JORDON</t>
  </si>
  <si>
    <t>AL-WADEI, MOHAMMED</t>
  </si>
  <si>
    <t>WHITE, AUTUMN</t>
  </si>
  <si>
    <t>CUDWORTH, KIMBERLY</t>
  </si>
  <si>
    <t>CONES, SHAWN</t>
  </si>
  <si>
    <t>WOOD, DAVID</t>
  </si>
  <si>
    <t>CHOWDHURY, SHAHREEN</t>
  </si>
  <si>
    <t>SCHULTZ, REBECCA</t>
  </si>
  <si>
    <t>ANDERSON, MIRICLE</t>
  </si>
  <si>
    <t>ANTONOPOULOS, ALEXIS</t>
  </si>
  <si>
    <t>BALLARD, MIKAYLA</t>
  </si>
  <si>
    <t>SPURLING, JASON</t>
  </si>
  <si>
    <t>THOMAS, BIJU</t>
  </si>
  <si>
    <t>SELLS, STEPHANIE</t>
  </si>
  <si>
    <t>NIX, SAMUEL</t>
  </si>
  <si>
    <t>STOBAUGH, MORGAN</t>
  </si>
  <si>
    <t>ROGERS, MAURI</t>
  </si>
  <si>
    <t>DALE, BRIANNA</t>
  </si>
  <si>
    <t>HARRIS, JEFFERY</t>
  </si>
  <si>
    <t>EICHHORN, ANGELA</t>
  </si>
  <si>
    <t>WHITE, AARON</t>
  </si>
  <si>
    <t>MOORE, THOMAS</t>
  </si>
  <si>
    <t>WYATT, DAVID</t>
  </si>
  <si>
    <t>BERLINSKI, ARIEL</t>
  </si>
  <si>
    <t>DIXON, JARED</t>
  </si>
  <si>
    <t>TILLEY, AMBER</t>
  </si>
  <si>
    <t>BANNING, MICHELLE</t>
  </si>
  <si>
    <t>YOUNG, MICHELE</t>
  </si>
  <si>
    <t>DAVIDSON, JAMES</t>
  </si>
  <si>
    <t>WINDSOR, LAURA</t>
  </si>
  <si>
    <t>HANSEN, MEAGAN</t>
  </si>
  <si>
    <t>HAWLEY, CHELSEA</t>
  </si>
  <si>
    <t>GONDWE, ANGANILE</t>
  </si>
  <si>
    <t>JONES, ANABEL</t>
  </si>
  <si>
    <t>REARDON, JOSEPH</t>
  </si>
  <si>
    <t>YAWN, TIMOTHY</t>
  </si>
  <si>
    <t>SAAD, DANIEL</t>
  </si>
  <si>
    <t>MORSE, TIMOTHY</t>
  </si>
  <si>
    <t>BROWN, GINGER</t>
  </si>
  <si>
    <t>HARRELL, SHERRIE</t>
  </si>
  <si>
    <t>LANDRUM, VALARI</t>
  </si>
  <si>
    <t>BHATT, NIDHI</t>
  </si>
  <si>
    <t>RUDD, JUSTIN</t>
  </si>
  <si>
    <t>ROBERTSON, KASSIE</t>
  </si>
  <si>
    <t>ROLEN, MOLLY</t>
  </si>
  <si>
    <t>CRANFORD, RUSSELL</t>
  </si>
  <si>
    <t>STUSSY, SHAWN</t>
  </si>
  <si>
    <t>DANKO, RAQUEL</t>
  </si>
  <si>
    <t>BRANSCUM, KRISTIE</t>
  </si>
  <si>
    <t>MANATT, JOSHUA</t>
  </si>
  <si>
    <t>DOPPALAPUDI, UMESH KRISHNA</t>
  </si>
  <si>
    <t>PETERS, JESSICA</t>
  </si>
  <si>
    <t>UNDERWOOD, KAYLA</t>
  </si>
  <si>
    <t>BANSAL, SHIPRA</t>
  </si>
  <si>
    <t>BROWN, NATALIE</t>
  </si>
  <si>
    <t>THIEBAUD, JEFFREY</t>
  </si>
  <si>
    <t>MARRUFO, ALEXYS</t>
  </si>
  <si>
    <t>BOELENS, TIFFANY</t>
  </si>
  <si>
    <t>WATSON, DANIEL</t>
  </si>
  <si>
    <t>NAVARRO, ALEXANDER</t>
  </si>
  <si>
    <t>SAYLORS, ROBERT</t>
  </si>
  <si>
    <t>STEFANS, VIKKI</t>
  </si>
  <si>
    <t>KARIKARI, YAA</t>
  </si>
  <si>
    <t>RENO, ADAM</t>
  </si>
  <si>
    <t>RUMMELLS, LOGAN</t>
  </si>
  <si>
    <t>ZAHN, ALEXIS</t>
  </si>
  <si>
    <t>ARNETTE, JULIE</t>
  </si>
  <si>
    <t>BENNETT, JILL</t>
  </si>
  <si>
    <t>ARMAH, ELHAM</t>
  </si>
  <si>
    <t>ENNIS, ERNEST</t>
  </si>
  <si>
    <t>ROSE, SAMANTHA</t>
  </si>
  <si>
    <t>BALTZ, JOHN</t>
  </si>
  <si>
    <t>LEEPER, LINDSAY</t>
  </si>
  <si>
    <t>DEVAZIER, SAMANTHA</t>
  </si>
  <si>
    <t>POWELL, KIMBERLY</t>
  </si>
  <si>
    <t>PURIFOY, SHAWN</t>
  </si>
  <si>
    <t>SMITH, LANDER</t>
  </si>
  <si>
    <t>SPRINGFIELD, BRENDA</t>
  </si>
  <si>
    <t>OZOIGBO, VALENTINE</t>
  </si>
  <si>
    <t>LOUDERMILK, JON</t>
  </si>
  <si>
    <t>MORGAN, JOSEPH</t>
  </si>
  <si>
    <t>KOEHLER, AARON</t>
  </si>
  <si>
    <t>NORTON, BRIDGET</t>
  </si>
  <si>
    <t>IRVIN, JOHN</t>
  </si>
  <si>
    <t>BELL, L.J.</t>
  </si>
  <si>
    <t>WALSH, BRADLEY</t>
  </si>
  <si>
    <t>VEAZEY, LAUREN</t>
  </si>
  <si>
    <t>HOGUE, SHARON</t>
  </si>
  <si>
    <t>BRUCE, ASHLEY</t>
  </si>
  <si>
    <t>DIXON, TYMWA</t>
  </si>
  <si>
    <t>JOSEPH, RALPH</t>
  </si>
  <si>
    <t>DONNER, KIMBERLEY</t>
  </si>
  <si>
    <t>WALKER, AMBER</t>
  </si>
  <si>
    <t>BRANNON, TANNER</t>
  </si>
  <si>
    <t>HYATT, TERRI</t>
  </si>
  <si>
    <t>MCGARRY, PATRICIA</t>
  </si>
  <si>
    <t>REBOLLEDO, MICHAEL</t>
  </si>
  <si>
    <t>DARNELL, KELLIE</t>
  </si>
  <si>
    <t>MARTIN, KYNDALL</t>
  </si>
  <si>
    <t>MILLER, COURTNEY</t>
  </si>
  <si>
    <t>THOMPSON, ASHLEY</t>
  </si>
  <si>
    <t>WHITE, WILLIAM</t>
  </si>
  <si>
    <t>SCHEEL, SARAH</t>
  </si>
  <si>
    <t>BRAY, SHELLY</t>
  </si>
  <si>
    <t>NOONAN, ROBERT</t>
  </si>
  <si>
    <t>SMITH, SHANNON</t>
  </si>
  <si>
    <t>WYNN, DEBORAH</t>
  </si>
  <si>
    <t>BLACK, NICOLE</t>
  </si>
  <si>
    <t>YELEY, JESSICA</t>
  </si>
  <si>
    <t>HECTOR, MYRRH</t>
  </si>
  <si>
    <t>ROACH, M CAREY</t>
  </si>
  <si>
    <t>BURTON, AMY</t>
  </si>
  <si>
    <t>WILLIS, MICHELLE</t>
  </si>
  <si>
    <t>UNDERWOOD, SARA</t>
  </si>
  <si>
    <t>GUTHREY, CALEB</t>
  </si>
  <si>
    <t>KIM, JORDAN</t>
  </si>
  <si>
    <t>O'SULLIVAN, KEVIN</t>
  </si>
  <si>
    <t>THOMAS-GREGORY, JUDITH</t>
  </si>
  <si>
    <t>HACKLER, GRETCHEN</t>
  </si>
  <si>
    <t>WILLIAMS, BARBARA</t>
  </si>
  <si>
    <t>MAGILL, MELISSA</t>
  </si>
  <si>
    <t>HATLEY, RUSSELL</t>
  </si>
  <si>
    <t>MERLE, KAREN</t>
  </si>
  <si>
    <t>HASHMI, SAMAN</t>
  </si>
  <si>
    <t>HENDRICKS, ASHLEY</t>
  </si>
  <si>
    <t>PRICE, ADAM</t>
  </si>
  <si>
    <t>ADAMS, CANDIS</t>
  </si>
  <si>
    <t>NELSON, MIRANDA</t>
  </si>
  <si>
    <t>SELBY, ANNE</t>
  </si>
  <si>
    <t>MITCHELL, J</t>
  </si>
  <si>
    <t>BARBER, JEFFERY</t>
  </si>
  <si>
    <t>PUCKETT, TARA</t>
  </si>
  <si>
    <t>CSONKA, JOSHUA</t>
  </si>
  <si>
    <t>CARLSON, LEAH</t>
  </si>
  <si>
    <t>WEST, ANDREA</t>
  </si>
  <si>
    <t>CURTIS, CALLIE</t>
  </si>
  <si>
    <t>ALLMAN, STEPHANIE</t>
  </si>
  <si>
    <t>ELLIS, JOHN</t>
  </si>
  <si>
    <t>BURT, WILLIAM</t>
  </si>
  <si>
    <t>MEASE, DARRELL</t>
  </si>
  <si>
    <t>BEATON, JAMES</t>
  </si>
  <si>
    <t>SUAREZ, CARLOS</t>
  </si>
  <si>
    <t>CROCKETT, BRIDGET</t>
  </si>
  <si>
    <t>FREEMAN, KAYLA</t>
  </si>
  <si>
    <t>THOMPSON, PHYLLIS</t>
  </si>
  <si>
    <t>SCHREKENHOFER, ABBY</t>
  </si>
  <si>
    <t>BOARDMAN, AMANDA</t>
  </si>
  <si>
    <t>ARMAS, DULCE</t>
  </si>
  <si>
    <t>HALLIBURTON, JENNIFER</t>
  </si>
  <si>
    <t>DAVIS, ALEXANDRIA</t>
  </si>
  <si>
    <t>KESKIN, SEVDENUR</t>
  </si>
  <si>
    <t>SARMIENTO CLEMENTE, ADRIANA</t>
  </si>
  <si>
    <t>HORNSBY, TAYLOR</t>
  </si>
  <si>
    <t>EDWARDS, DEONDRA</t>
  </si>
  <si>
    <t>DODSON, JOY</t>
  </si>
  <si>
    <t>MEDELLIN, BLANCA</t>
  </si>
  <si>
    <t>OGE, BRIAN</t>
  </si>
  <si>
    <t>PACE, DANIEL</t>
  </si>
  <si>
    <t>VAUGHAN, GRANVILLE</t>
  </si>
  <si>
    <t>NIX, JOHN</t>
  </si>
  <si>
    <t>EVERETT, KAREN</t>
  </si>
  <si>
    <t>BASHIR, AHSAN</t>
  </si>
  <si>
    <t>STONE, HEATHER</t>
  </si>
  <si>
    <t>HARLOW, MARY</t>
  </si>
  <si>
    <t>KWONG, RYAN</t>
  </si>
  <si>
    <t>VERDELL, JONATHAN</t>
  </si>
  <si>
    <t>CARTER, CHRISTEN</t>
  </si>
  <si>
    <t>CHAPDELAINE, ANNA</t>
  </si>
  <si>
    <t>TARPLEY, JON</t>
  </si>
  <si>
    <t>QADIR, FAUZIA</t>
  </si>
  <si>
    <t>FORD, BARRY</t>
  </si>
  <si>
    <t>MCELYEA, VIVIAN</t>
  </si>
  <si>
    <t>AKIL, NOUR</t>
  </si>
  <si>
    <t>DAVIS, JANELL</t>
  </si>
  <si>
    <t>BRITTON, LESLIE</t>
  </si>
  <si>
    <t>CLUCK, ROBERT</t>
  </si>
  <si>
    <t>GILBERT, DANA</t>
  </si>
  <si>
    <t>HERNANDEZ, ALAINA</t>
  </si>
  <si>
    <t>FLORY, MARRLYNN</t>
  </si>
  <si>
    <t>GERSON, DAVID</t>
  </si>
  <si>
    <t>BEARDEN, JEFFREY</t>
  </si>
  <si>
    <t>NOEL, STACEY</t>
  </si>
  <si>
    <t>P040</t>
  </si>
  <si>
    <t>Psychiatry</t>
  </si>
  <si>
    <t>ZEYLIKMAN, YURIY</t>
  </si>
  <si>
    <t>TILLERSON, ELBERT</t>
  </si>
  <si>
    <t>CONKLIN, HEATHER</t>
  </si>
  <si>
    <t>WEGNER, MARY</t>
  </si>
  <si>
    <t>LEMDJA, MIMO</t>
  </si>
  <si>
    <t>KRULIN, GREGORY</t>
  </si>
  <si>
    <t>PESNELL, LARKUS</t>
  </si>
  <si>
    <t>THOMAS, LINDSEY</t>
  </si>
  <si>
    <t>DIDION, JACOB</t>
  </si>
  <si>
    <t>BOLT, JACOB</t>
  </si>
  <si>
    <t>DAVIS, VICTORIA</t>
  </si>
  <si>
    <t>ROGERSON, SUSAN</t>
  </si>
  <si>
    <t>TUMMALA, SUDHAKAR</t>
  </si>
  <si>
    <t>CLEVENGER, MICHAEL</t>
  </si>
  <si>
    <t>SCEARS, MEGHAN</t>
  </si>
  <si>
    <t>WINANS, THOMAS</t>
  </si>
  <si>
    <t>STOVALL, JESSICA</t>
  </si>
  <si>
    <t>MALIK, KHALID</t>
  </si>
  <si>
    <t>CAIN, LESLIE</t>
  </si>
  <si>
    <t>PHOMAKAY, CHANSAMONE</t>
  </si>
  <si>
    <t>SHARON, RONI</t>
  </si>
  <si>
    <t>RAYAZ, MUSTAFA</t>
  </si>
  <si>
    <t>BEARE, DAVID</t>
  </si>
  <si>
    <t>HUETER, JOHN</t>
  </si>
  <si>
    <t>CASTRI, PAOLA</t>
  </si>
  <si>
    <t>TUCKER, CHARLES</t>
  </si>
  <si>
    <t>AHMED, BASHIR</t>
  </si>
  <si>
    <t>KHALEEL, GHULAM</t>
  </si>
  <si>
    <t>SHARP, GREGORY</t>
  </si>
  <si>
    <t>WHEATLEY, MARSHA</t>
  </si>
  <si>
    <t>TAYLOR, MELANIE</t>
  </si>
  <si>
    <t>FUSSELL, JILL</t>
  </si>
  <si>
    <t>DHALL, ROHIT</t>
  </si>
  <si>
    <t>FOSTER, PAUL</t>
  </si>
  <si>
    <t>YADALA, SISIRA</t>
  </si>
  <si>
    <t>PATEL, NIMIT</t>
  </si>
  <si>
    <t>ANAND, DHEERAJ</t>
  </si>
  <si>
    <t>WATSON, DANA</t>
  </si>
  <si>
    <t>ATKINSON, THOMAS</t>
  </si>
  <si>
    <t>SCHMITZ, JAMES</t>
  </si>
  <si>
    <t>NAZARIAN, SARKIS</t>
  </si>
  <si>
    <t>CALVERT, MAEGAN</t>
  </si>
  <si>
    <t>PIPKIN, JESSICA</t>
  </si>
  <si>
    <t>VORA, CHETNA</t>
  </si>
  <si>
    <t>CORDINA, STEVE</t>
  </si>
  <si>
    <t>KRAMER, EDWARD</t>
  </si>
  <si>
    <t>P041</t>
  </si>
  <si>
    <t>Pulmonology</t>
  </si>
  <si>
    <t>SIDDAIAH, ROOPA</t>
  </si>
  <si>
    <t>ALAM, SYED</t>
  </si>
  <si>
    <t>VESELINOVIC, MLADJEN</t>
  </si>
  <si>
    <t>DUNCAN, ULRIC</t>
  </si>
  <si>
    <t>RAHMANY, ZALMI</t>
  </si>
  <si>
    <t>O'HERN, SCOTT</t>
  </si>
  <si>
    <t>CHEEMA, RAFAY</t>
  </si>
  <si>
    <t>RUSAKOW, LEE</t>
  </si>
  <si>
    <t>ANAND, VIKRAM</t>
  </si>
  <si>
    <t>This provider does not operate in AR</t>
  </si>
  <si>
    <t>EPPS, SARENTHIA</t>
  </si>
  <si>
    <t>SPIVEY, JOHN</t>
  </si>
  <si>
    <t>TAMAYO, FRANCISCO</t>
  </si>
  <si>
    <t>P042</t>
  </si>
  <si>
    <t>Rheumatology</t>
  </si>
  <si>
    <t>PETROS, DAVID</t>
  </si>
  <si>
    <t>HOLT, HUEY</t>
  </si>
  <si>
    <t>HARVILLE, TERRY</t>
  </si>
  <si>
    <t>DENEKE, JAMES</t>
  </si>
  <si>
    <t>P043</t>
  </si>
  <si>
    <t>Speech Therapy</t>
  </si>
  <si>
    <t>WINE, MALLORY</t>
  </si>
  <si>
    <t>RANKIN, RANDAL</t>
  </si>
  <si>
    <t>WRIGHT, TARA</t>
  </si>
  <si>
    <t>BOST, ALICIA</t>
  </si>
  <si>
    <t>HUGHES, CAITLYN</t>
  </si>
  <si>
    <t>JAMES, SARAH DALTON</t>
  </si>
  <si>
    <t>SMITH, LONDYN</t>
  </si>
  <si>
    <t>FITZHUGH, KAYLA</t>
  </si>
  <si>
    <t>BRECKENRIDGE, MOLLIE</t>
  </si>
  <si>
    <t>KING, CINNAMON</t>
  </si>
  <si>
    <t>HARRINGTON, ERIN</t>
  </si>
  <si>
    <t xml:space="preserve">School location; This is not a clinc for contracting </t>
  </si>
  <si>
    <t>MARTIN, CASSIE</t>
  </si>
  <si>
    <t>HADDIX, VICKI</t>
  </si>
  <si>
    <t>LONG, HARRIETT</t>
  </si>
  <si>
    <t>HURTADO, BRANDI</t>
  </si>
  <si>
    <t>HENLEY, TAYLOR</t>
  </si>
  <si>
    <t>ACKETT, MORGAN</t>
  </si>
  <si>
    <t>MELTON, TIFFANY</t>
  </si>
  <si>
    <t>SPECK, ELIZABETH</t>
  </si>
  <si>
    <t>WILCOX, ROBIN</t>
  </si>
  <si>
    <t>LIVINGSTON, AMY</t>
  </si>
  <si>
    <t>WILLIAMS, ANNA</t>
  </si>
  <si>
    <t>WOOD, HALEY</t>
  </si>
  <si>
    <t>BROWNING, ROBIN</t>
  </si>
  <si>
    <t>GREIG, PATRICIA</t>
  </si>
  <si>
    <t>BRADFORD, HALEIGH</t>
  </si>
  <si>
    <t>MYERS, KIMBERLY</t>
  </si>
  <si>
    <t>LOTT, OLIVIA</t>
  </si>
  <si>
    <t>RAGLAND, CHELSEA</t>
  </si>
  <si>
    <t>RAMEY, RITA</t>
  </si>
  <si>
    <t>STILL, BRIANNA</t>
  </si>
  <si>
    <t>WARRICK, ELIZABETH</t>
  </si>
  <si>
    <t>LAURELES, GRACE</t>
  </si>
  <si>
    <t>CLARK, MELISSA</t>
  </si>
  <si>
    <t>GRIFFIN, KATHERINE</t>
  </si>
  <si>
    <t>MALONE-GILBERT, MARTHA</t>
  </si>
  <si>
    <t>COSSEY, JORDANN</t>
  </si>
  <si>
    <t>SUTTON, KELSEY</t>
  </si>
  <si>
    <t>GODWIN, FARRELL</t>
  </si>
  <si>
    <t>COLE, ANNA</t>
  </si>
  <si>
    <t>HINDSLEY, MALLORY</t>
  </si>
  <si>
    <t>REAMES, KATHERINE</t>
  </si>
  <si>
    <t>ANDERSON, LESLIE</t>
  </si>
  <si>
    <t>BROWN, JAMIE</t>
  </si>
  <si>
    <t>WOOLLEN, MARIETTA</t>
  </si>
  <si>
    <t>SCHWANDER, DOROTHY</t>
  </si>
  <si>
    <t>MOSLANDER, PAIGE</t>
  </si>
  <si>
    <t>EOFF, ELIZABETH</t>
  </si>
  <si>
    <t>CHILDERS, ALEXIS</t>
  </si>
  <si>
    <t>PRIOR, MALLORY</t>
  </si>
  <si>
    <t>ALLEN, ALEXIA</t>
  </si>
  <si>
    <t>MCCOMBS, MAKAYLA</t>
  </si>
  <si>
    <t>FISHER, SARAH</t>
  </si>
  <si>
    <t>CARTER, SARA</t>
  </si>
  <si>
    <t>PIPKIN, KATIE</t>
  </si>
  <si>
    <t>BALLINGER, TAWNI</t>
  </si>
  <si>
    <t>PRICE, CASSANDRA</t>
  </si>
  <si>
    <t>SMITH, ASHLEY</t>
  </si>
  <si>
    <t>GOSSETT, SARAH</t>
  </si>
  <si>
    <t>HINSON, CRISTIN</t>
  </si>
  <si>
    <t>FORTE, SYDNIE</t>
  </si>
  <si>
    <t>GLEGHORN, AMBER</t>
  </si>
  <si>
    <t>LANIER, EMILY</t>
  </si>
  <si>
    <t>OSWALT, JOSEPH</t>
  </si>
  <si>
    <t>MIDDLETON, SHARON</t>
  </si>
  <si>
    <t>MUELLER, MEREDITH</t>
  </si>
  <si>
    <t>VOIGHT, DONNA</t>
  </si>
  <si>
    <t>PREVOZNIK, KENDALL</t>
  </si>
  <si>
    <t>MORRISON, CASSIDY</t>
  </si>
  <si>
    <t>MERRITT, JAYCEE</t>
  </si>
  <si>
    <t>MARSHALL, JULIE</t>
  </si>
  <si>
    <t>CAMDEN, ANDREA</t>
  </si>
  <si>
    <t>NABORS, AMY</t>
  </si>
  <si>
    <t>DOYEL, LAUREN</t>
  </si>
  <si>
    <t>WARREN, JILL</t>
  </si>
  <si>
    <t>SIMPSON, RAMONA</t>
  </si>
  <si>
    <t>HICKS, SAVANNAH</t>
  </si>
  <si>
    <t>FELIZCO, DEBORAH</t>
  </si>
  <si>
    <t>WHITE, ELLEN</t>
  </si>
  <si>
    <t>VEIT, KATHERINE</t>
  </si>
  <si>
    <t>CALHOON, CALISTA</t>
  </si>
  <si>
    <t>TREADWAY, LINDSEY</t>
  </si>
  <si>
    <t>JAMES, BRANDON</t>
  </si>
  <si>
    <t>CHAPMAN, AINSLEY</t>
  </si>
  <si>
    <t>TAYLOR, SHANNON</t>
  </si>
  <si>
    <t>LUMAN, MAKENZIE</t>
  </si>
  <si>
    <t>MATHIS, HALEY</t>
  </si>
  <si>
    <t>P044</t>
  </si>
  <si>
    <t>Urology</t>
  </si>
  <si>
    <t>WOMACK, JOSEPH</t>
  </si>
  <si>
    <t>FIELDS, LEWIS</t>
  </si>
  <si>
    <t>BROCKWAY, WILLIAM</t>
  </si>
  <si>
    <t>TURANO, JODI</t>
  </si>
  <si>
    <t>KLEIN, CORDELL</t>
  </si>
  <si>
    <t>P045</t>
  </si>
  <si>
    <t>Vascular Surgery</t>
  </si>
  <si>
    <t>Not license in AR</t>
  </si>
  <si>
    <t>KHAIDAKOVA, GALIMAT</t>
  </si>
  <si>
    <t>MASON, ROGER</t>
  </si>
  <si>
    <t>PELLICCIO, NICHOLAS</t>
  </si>
  <si>
    <t>JAGGERS, ROBERT</t>
  </si>
  <si>
    <t>MEURER, MICHAEL</t>
  </si>
  <si>
    <t>PATRICK, DONALD</t>
  </si>
  <si>
    <t>AID - Single issuer's classification disagreed with majority</t>
  </si>
  <si>
    <t>Not license in AR, AID - Single issuer's classification disagreed with majority</t>
  </si>
  <si>
    <t>Retired, AID - Single issuer's classification disagreed with majority</t>
  </si>
  <si>
    <t>Practitioner is not gastroenterologist. Practices Emergency Medicine and is a hospitalist. https://npidb.org/doctors/allopathic_osteopathic_physicians/emergency-medicine_207p00000x/1134149339.aspx?src=2, AID - Single issuer's classification disagreed with majority</t>
  </si>
  <si>
    <t>https://www.mercy.net/doctor/kevin-allen-davis-md/. Practitioner is credentialed and listed on roster as emergency medicine, not Infectious Disease., AID - Single issuer's classification disagreed with majority</t>
  </si>
  <si>
    <t>Practitioner is a neurologist, not nephrologist. Listed on internal information, provider roster, and provider website as Neurologist. https://www.archildrens.org/find-a-doctor/William-Walters-C2J40J57D8, AID - Single issuer's classification disagreed with majority</t>
  </si>
  <si>
    <t>Practitioner is credentialed internally as General Practice and Obstetrics only., AID - Single issuer's classification disagreed with majority</t>
  </si>
  <si>
    <t>Provider is a family practice APN, not BH. https://www.arcare.net/blog/profiles/caleb-lunday/, AID - Single issuer's classification disagreed with majority</t>
  </si>
  <si>
    <t>This NPI/Location is for a DDS Oral Surgeon , AID - Single issuer's classification disagreed with majority</t>
  </si>
  <si>
    <t>This NPI is for a DDS Oral Surgeon , AID - Single issuer's classification disagreed with majority</t>
  </si>
  <si>
    <t>Practitioner is ortho, not plastic surgery. https://www.sarcheart.com/providers-1/kurt-piatkowski, Provider specialty is Orthopedic Surgeon, AID - Single issuer's classification disagreed with majority</t>
  </si>
  <si>
    <t>AID - Misclassified as PCP having Internal Medicine as only qualifier</t>
  </si>
  <si>
    <t>Provider moved to Ohio, AID - Misclassified as PCP having Internal Medicine as only qualifier</t>
  </si>
  <si>
    <t>Provider specialty is hospitalist, AID - Misclassified as PCP having Internal Medicine as only qualifier</t>
  </si>
  <si>
    <t>Practitioner is credentialed internally as Allergy and Immunology. NPPES listing agrees. Practitioner locations reported are allergy and asthma and not primary care as well. https://arallergy.com/physicians/lindsay-still-md/, AID - Single issuer's classification disagreed with majority</t>
  </si>
  <si>
    <t>Practitioner is credentialed internally as ophthalmologist. https://napiereye.com/, AID - Single issuer's classification disagreed with majority</t>
  </si>
  <si>
    <t>Provider specialty is Cardiology, AID - Single issuer's classification disagreed with majority</t>
  </si>
  <si>
    <t>Practitioner is credentialed and listed internally as internal medicine, not valid spec for pediatric based on provider type crosswalk. https://npidb.org/doctors/allopathic_osteopathic_physicians/internal-medicine_207r00000x/1710982871.aspx?src=2, AID - Single issuer's classification disagreed with majority</t>
  </si>
  <si>
    <t>Provider specialty is hospitalist, AID - Single issuer's classification disagreed with majority</t>
  </si>
  <si>
    <t/>
  </si>
  <si>
    <t>LUE, STANLEY</t>
  </si>
  <si>
    <t>RIVERA - PEREZ, FELIX</t>
  </si>
  <si>
    <t>WILT, ERICA</t>
  </si>
  <si>
    <t>FRAZEY, ELLIE</t>
  </si>
  <si>
    <t>SILVA, GUSTAVO</t>
  </si>
  <si>
    <t>DOTSON, WILLIAM</t>
  </si>
  <si>
    <t>GONZALEZ, PAULO</t>
  </si>
  <si>
    <t>KANTER, JENNA</t>
  </si>
  <si>
    <t>RASTOGI, KOMAL</t>
  </si>
  <si>
    <t>LIAO, YU-HSUAN</t>
  </si>
  <si>
    <t>MCNEIL, CHERYL</t>
  </si>
  <si>
    <t>CHITRAVAS, NUMTHIP</t>
  </si>
  <si>
    <t>BOYER, EDWARD</t>
  </si>
  <si>
    <t>MCDONALD, STEPHEN</t>
  </si>
  <si>
    <t>JONES, REBECCA</t>
  </si>
  <si>
    <t>KELESOGLOU, CHRISTOPHER</t>
  </si>
  <si>
    <t>FITZSIMMONS, BRIAN-FRED</t>
  </si>
  <si>
    <t>VON STROLLEY, ARIELLE</t>
  </si>
  <si>
    <t>TORRES, JORGE</t>
  </si>
  <si>
    <t>HASKINS, DANIELLE</t>
  </si>
  <si>
    <t>TANDYASRAYA, PRITA</t>
  </si>
  <si>
    <t>WHAPHAM, JOHN</t>
  </si>
  <si>
    <t>ARSHAD, AHMED</t>
  </si>
  <si>
    <t>BURNETT, ANNIE</t>
  </si>
  <si>
    <t>VENTURA, JULIO</t>
  </si>
  <si>
    <t>CARDENTEY, AGNELIO</t>
  </si>
  <si>
    <t>RAGLAND, JEREMY</t>
  </si>
  <si>
    <t>MALKA, ROBERT</t>
  </si>
  <si>
    <t>WEI, SHAO-HWA</t>
  </si>
  <si>
    <t>ANDRY, JAMES</t>
  </si>
  <si>
    <t>KAUL, SIDDHARTH</t>
  </si>
  <si>
    <t>BROWN, WENDY</t>
  </si>
  <si>
    <t>AVINO, LORIANNE</t>
  </si>
  <si>
    <t>YEUNG, PHILIP</t>
  </si>
  <si>
    <t>PAREDES, DANELVIS</t>
  </si>
  <si>
    <t>VIDGOP, YELENA</t>
  </si>
  <si>
    <t>ADAMS, CHRISTOPHER</t>
  </si>
  <si>
    <t>SIEGLER, DAVID</t>
  </si>
  <si>
    <t>ACEVEDO-RAMIREZ, NATTASHA</t>
  </si>
  <si>
    <t>HORN, CHRISTOPHER</t>
  </si>
  <si>
    <t>SEVILIS, THERESA</t>
  </si>
  <si>
    <t>AMIN, DARSHANA</t>
  </si>
  <si>
    <t>DECANT, ZACHARY</t>
  </si>
  <si>
    <t>ABDELMOTILIB, HISHAM</t>
  </si>
  <si>
    <t>COLON-GARCIA, PATRICIA</t>
  </si>
  <si>
    <t>JIANG, LINDA</t>
  </si>
  <si>
    <t>JHAMB, NEIL</t>
  </si>
  <si>
    <t>PIRMOHAMED, FERMINA</t>
  </si>
  <si>
    <t>AMIR, MURTAZA</t>
  </si>
  <si>
    <t>IRSHAD, KHADIJA</t>
  </si>
  <si>
    <t>CORTI, SANDRO</t>
  </si>
  <si>
    <t>BLECH, BENZION</t>
  </si>
  <si>
    <t>FOWLER, MARIECKEN</t>
  </si>
  <si>
    <t>RICHARDSON, COLBY</t>
  </si>
  <si>
    <t>UDDIN, ASHWAAN</t>
  </si>
  <si>
    <t>HARRISON, AMY</t>
  </si>
  <si>
    <t>OSEHOBO, EHIZELE</t>
  </si>
  <si>
    <t>ABBASI, HAMIDREZA</t>
  </si>
  <si>
    <t>ROSE-INNES, ANDREW</t>
  </si>
  <si>
    <t>KLEIN, BRADLEY</t>
  </si>
  <si>
    <t>MENENDEZ, GABRIEL</t>
  </si>
  <si>
    <t>SAMBURSKY, JACOB</t>
  </si>
  <si>
    <t>KLEINHOLZ-OWENS, PATRICIA</t>
  </si>
  <si>
    <t>REMMEL, KERRI</t>
  </si>
  <si>
    <t>REDMOND, CINTASHA</t>
  </si>
  <si>
    <t>KOZMINSKI, MATTHEW</t>
  </si>
  <si>
    <t>SOMBUTMAI, CHUT</t>
  </si>
  <si>
    <t>BELLO, NANCY</t>
  </si>
  <si>
    <t>YARLAGADDA, RAVI</t>
  </si>
  <si>
    <t>NOORBAKHSH SABET, NARIMAN</t>
  </si>
  <si>
    <t>DE JESUS-ALVELO, INDIRA</t>
  </si>
  <si>
    <t>PLANCHER, JOAO MC-ONEIL</t>
  </si>
  <si>
    <t>PATEL, RONAK</t>
  </si>
  <si>
    <t>BUI, MAI-LYNN</t>
  </si>
  <si>
    <t>DUNSTON, RANDALL</t>
  </si>
  <si>
    <t>SEIBERT, JULIE</t>
  </si>
  <si>
    <t>VAJAPEY, GEETANJALI</t>
  </si>
  <si>
    <t>BAITY, JESSICA</t>
  </si>
  <si>
    <t>KOSS, ADAM</t>
  </si>
  <si>
    <t>CHERKASSKY, GEORGY</t>
  </si>
  <si>
    <t>HOANG, HAI</t>
  </si>
  <si>
    <t>VASUDEVAN, ARVIND</t>
  </si>
  <si>
    <t>BHENDE, BHAGYASHRI</t>
  </si>
  <si>
    <t>AMMAR, TAMER</t>
  </si>
  <si>
    <t>BARMINOVA, ANNA</t>
  </si>
  <si>
    <t>THOMAS, CRYSTAL</t>
  </si>
  <si>
    <t>FIGURELLE, MORGAN</t>
  </si>
  <si>
    <t>FALERO POMALES, JOSE</t>
  </si>
  <si>
    <t>HEGAZY, MOHAMED</t>
  </si>
  <si>
    <t>BALMAKUND, JHABLALL</t>
  </si>
  <si>
    <t>BINDER, KYLE</t>
  </si>
  <si>
    <t>GIUGLIANO, AVA</t>
  </si>
  <si>
    <t>BEHRAVAN, VAHID</t>
  </si>
  <si>
    <t>ATKINSON, SARAH</t>
  </si>
  <si>
    <t>ABCEDE, HERMELINDA</t>
  </si>
  <si>
    <t>TEKIELA, PIOTR</t>
  </si>
  <si>
    <t>SITZMANN, ADAM</t>
  </si>
  <si>
    <t>MISULIS, EDWARD</t>
  </si>
  <si>
    <t>CHEN, HSIONG</t>
  </si>
  <si>
    <t>ALMIDANI, MAZEN</t>
  </si>
  <si>
    <t>FRIEDMAN, MARK</t>
  </si>
  <si>
    <t>GANGLOFF, STEVEN</t>
  </si>
  <si>
    <t>SCHMITT, KEVIN</t>
  </si>
  <si>
    <t>LU, MOFEI</t>
  </si>
  <si>
    <t>DHADWAL, NEETU</t>
  </si>
  <si>
    <t>NOLAN, NEAL</t>
  </si>
  <si>
    <t>STABLEY, JASON</t>
  </si>
  <si>
    <t>MUDDASSIR, KHAWAJA</t>
  </si>
  <si>
    <t>PATEL, MEHUL</t>
  </si>
  <si>
    <t>AMBROGINI, ELENA</t>
  </si>
  <si>
    <t>SHRESTHA, ASIS</t>
  </si>
  <si>
    <t>VELASQUEZ, PEDRO</t>
  </si>
  <si>
    <t>FORNEY, JOSEPH</t>
  </si>
  <si>
    <t>RASHEED, KASHAF</t>
  </si>
  <si>
    <t>ZULQARNAIN, MUHAMMAD</t>
  </si>
  <si>
    <t>AZAM, SHOAIB</t>
  </si>
  <si>
    <t>MINHAS, SOHAIL</t>
  </si>
  <si>
    <t>SAKR, SAFWAN</t>
  </si>
  <si>
    <t>CAMFERDAM, ROBERT</t>
  </si>
  <si>
    <t>SHARMA, APARNA</t>
  </si>
  <si>
    <t>THANDASSERY, RAGESH</t>
  </si>
  <si>
    <t>WRIGHT, BRANDI</t>
  </si>
  <si>
    <t>WILLIAMS, ROBIN</t>
  </si>
  <si>
    <t>CALANDRO, VITO</t>
  </si>
  <si>
    <t>LEBARON, LINNEA</t>
  </si>
  <si>
    <t>KELLEY, MORRIS</t>
  </si>
  <si>
    <t>WASHINGTON, MITZI</t>
  </si>
  <si>
    <t>BECK, JAMES</t>
  </si>
  <si>
    <t>HAWKINS, KRISTI</t>
  </si>
  <si>
    <t>RUDORFER, BENNETT</t>
  </si>
  <si>
    <t>GOORHA, SALIL</t>
  </si>
  <si>
    <t>HENDERSON, JOHN</t>
  </si>
  <si>
    <t>LOGUIDICE, MICHAEL</t>
  </si>
  <si>
    <t>DAVIS, LEE</t>
  </si>
  <si>
    <t>DEVABHAKTUNI, SUBODH</t>
  </si>
  <si>
    <t>KASPROWICZ, THOMAS</t>
  </si>
  <si>
    <t>BURSEY, DEBORAH</t>
  </si>
  <si>
    <t>REINSVOLD, THOMAS</t>
  </si>
  <si>
    <t>PATEL, NAYNESHKUMAR</t>
  </si>
  <si>
    <t>VOINEA, ALINA</t>
  </si>
  <si>
    <t>BIRRER, MICHAEL</t>
  </si>
  <si>
    <t>PULUSANI, VAISHNAVI</t>
  </si>
  <si>
    <t>GREEN, JASON</t>
  </si>
  <si>
    <t>ALSAYED HUSSAIN, ALI</t>
  </si>
  <si>
    <t>STROUD, STEVEN</t>
  </si>
  <si>
    <t>SVOBODA, ROBERT</t>
  </si>
  <si>
    <t>CAMPBELL, PATRICK</t>
  </si>
  <si>
    <t>NAOMAN, SHAHLA</t>
  </si>
  <si>
    <t>SCOTT, LENSEY</t>
  </si>
  <si>
    <t>MALIK, MUBASHER</t>
  </si>
  <si>
    <t>BASHIR, MAAMAN</t>
  </si>
  <si>
    <t>MOUNSEY, JOHN</t>
  </si>
  <si>
    <t>JONES, JOHNNY</t>
  </si>
  <si>
    <t>HIGGINS, PATRICK</t>
  </si>
  <si>
    <t>MEGO, DAVID</t>
  </si>
  <si>
    <t>SEWANI, ASIF</t>
  </si>
  <si>
    <t>MANDALAPU, RAJENDRA</t>
  </si>
  <si>
    <t>YARANOV, DMITRY</t>
  </si>
  <si>
    <t>VALLANDIGHAM, JOHN</t>
  </si>
  <si>
    <t>LANDBERG, KARL</t>
  </si>
  <si>
    <t>TSUDA, SUE</t>
  </si>
  <si>
    <t>DAVILA, DAVID</t>
  </si>
  <si>
    <t>BAILEY, JASON</t>
  </si>
  <si>
    <t>LISHMANOV, ANTON</t>
  </si>
  <si>
    <t>GARNER, WESLEY</t>
  </si>
  <si>
    <t>HARGROVE, JOE</t>
  </si>
  <si>
    <t>SINGH, SATWINDER</t>
  </si>
  <si>
    <t>ISTANBOULI, WAJIH</t>
  </si>
  <si>
    <t>WALLACE, THOMAS</t>
  </si>
  <si>
    <t>KHAYAL, SABA</t>
  </si>
  <si>
    <t>GADDAM, MAMATHA</t>
  </si>
  <si>
    <t>VANGROUW, RICHARD</t>
  </si>
  <si>
    <t>NASH, GARY</t>
  </si>
  <si>
    <t>AWAR, LENA</t>
  </si>
  <si>
    <t>SMITH, DAVID</t>
  </si>
  <si>
    <t>HENLEY, ZANE</t>
  </si>
  <si>
    <t>VEMULA, BHAVANA</t>
  </si>
  <si>
    <t>ROBERTSON, JEFFREY</t>
  </si>
  <si>
    <t>CHISM, BRANDON</t>
  </si>
  <si>
    <t>ACHARYA, YUBA</t>
  </si>
  <si>
    <t>SANON, PRIYANKA</t>
  </si>
  <si>
    <t>STEELE, STEPHEN</t>
  </si>
  <si>
    <t>BRADSHER, ROBERT</t>
  </si>
  <si>
    <t>KIMBALL, SHANE</t>
  </si>
  <si>
    <t>RAJAN, SANDEEP</t>
  </si>
  <si>
    <t>AHRENS, MITCHELL</t>
  </si>
  <si>
    <t>KATHURIA, RITU</t>
  </si>
  <si>
    <t>STOYIOGLOU, ATHANASIOS</t>
  </si>
  <si>
    <t>BODENNER, DONALD</t>
  </si>
  <si>
    <t>WELLS, ROBERT</t>
  </si>
  <si>
    <t>MCCRACKEN, GAIL</t>
  </si>
  <si>
    <t>KLEMIS, JAMES</t>
  </si>
  <si>
    <t>AMARI, MOHAMMED</t>
  </si>
  <si>
    <t>GONZALEZ, MANUEL</t>
  </si>
  <si>
    <t>MOHAMED, NOHA</t>
  </si>
  <si>
    <t>IMAM, MOHAMAD</t>
  </si>
  <si>
    <t>BHELLA, PAUL</t>
  </si>
  <si>
    <t>STEINBERG, HELMUT</t>
  </si>
  <si>
    <t>JONES, CLYDE</t>
  </si>
  <si>
    <t>KHAN, BABAR</t>
  </si>
  <si>
    <t>HENRY, D</t>
  </si>
  <si>
    <t>BROWN, COREY</t>
  </si>
  <si>
    <t>MARSHELL, RAMEY</t>
  </si>
  <si>
    <t>NORRIS, L.</t>
  </si>
  <si>
    <t>BALASEKARAN, RANGA</t>
  </si>
  <si>
    <t>KHATTAK, AMNA</t>
  </si>
  <si>
    <t>VOISE, NATHAN</t>
  </si>
  <si>
    <t>VOELKER, DONALD</t>
  </si>
  <si>
    <t>ECKLES, MICHAEL</t>
  </si>
  <si>
    <t>CAMPBELL JIMENEZ, BRIAN</t>
  </si>
  <si>
    <t>SCHULZ, THOMAS</t>
  </si>
  <si>
    <t>TAHIRI, ABDALLA</t>
  </si>
  <si>
    <t>NEWTON, JAMES</t>
  </si>
  <si>
    <t>CAMP, MICHAEL</t>
  </si>
  <si>
    <t>THUMMA, SOUMYA</t>
  </si>
  <si>
    <t>DILL, DREW</t>
  </si>
  <si>
    <t>WONG, WILSON</t>
  </si>
  <si>
    <t>PEARCE, ALBERT</t>
  </si>
  <si>
    <t>PEREZ, CARLOS</t>
  </si>
  <si>
    <t>GRIEBEL, JACK</t>
  </si>
  <si>
    <t>NAIR, RAJESH</t>
  </si>
  <si>
    <t>EARNEST, CHRISTI</t>
  </si>
  <si>
    <t>ISSA, NIZAR</t>
  </si>
  <si>
    <t>GODBOLE, ABHIJIT</t>
  </si>
  <si>
    <t>GORAYA, HARMEEN</t>
  </si>
  <si>
    <t>HUBER, MICHAEL</t>
  </si>
  <si>
    <t>GRIFFIN, DAVID</t>
  </si>
  <si>
    <t>ODULANA, ADEBOWALE</t>
  </si>
  <si>
    <t>ATCHLEY, WILLIAM</t>
  </si>
  <si>
    <t>ASIF SIDDIQUI, OMER</t>
  </si>
  <si>
    <t>MALTE, BRIAN</t>
  </si>
  <si>
    <t>DUNN, SAMUEL</t>
  </si>
  <si>
    <t>MILLS, CHARLES</t>
  </si>
  <si>
    <t>DENEKE, MATTHEW</t>
  </si>
  <si>
    <t>EBERS, ANDREW</t>
  </si>
  <si>
    <t>KUYKENDALL, MARGARET</t>
  </si>
  <si>
    <t>MALIK, MOHAMMAD</t>
  </si>
  <si>
    <t>Provider specialty is Cardiology, AID - Misclassified as PCP having Internal Medicine as only qualifier</t>
  </si>
  <si>
    <t>HACKLER, JOSEPH</t>
  </si>
  <si>
    <t>JEYARAJ, DARWIN</t>
  </si>
  <si>
    <t>PATEL, DHAVAL</t>
  </si>
  <si>
    <t>FLAHERTY, PATRICK</t>
  </si>
  <si>
    <t>ROBERTSON, WILLIAM</t>
  </si>
  <si>
    <t>IMRAN, ADIL</t>
  </si>
  <si>
    <t>GRAVENOR, DONALD</t>
  </si>
  <si>
    <t>WEATHERS, LARRY</t>
  </si>
  <si>
    <t>TATA, NAZNEEN</t>
  </si>
  <si>
    <t>LIM, JAYTON</t>
  </si>
  <si>
    <t>DO, MEGAN</t>
  </si>
  <si>
    <t>BALDASARE, MARIA</t>
  </si>
  <si>
    <t>TRIPATHI, AVNISH</t>
  </si>
  <si>
    <t>MCELREATH, DAVID</t>
  </si>
  <si>
    <t>BLANKENSHIP, DENNIS</t>
  </si>
  <si>
    <t>LUNA, MICHAEL</t>
  </si>
  <si>
    <t>SINGH, MANISHA</t>
  </si>
  <si>
    <t>SMITH, MALLORY</t>
  </si>
  <si>
    <t>ABU AL HOMMOS, NISREEN</t>
  </si>
  <si>
    <t>THRASHER, JAMES</t>
  </si>
  <si>
    <t>BAILEY, WILLIAM</t>
  </si>
  <si>
    <t>PAHWA, HARNEET</t>
  </si>
  <si>
    <t>SONI, RONAK</t>
  </si>
  <si>
    <t>SHAIKH, TAHIR</t>
  </si>
  <si>
    <t>BLACKSTOCK, TERRI</t>
  </si>
  <si>
    <t>SUNKARA, ANUSHA</t>
  </si>
  <si>
    <t>ELEFAN, DARRYL</t>
  </si>
  <si>
    <t>BRIGGLER, ANDREW</t>
  </si>
  <si>
    <t>SHROFF, RAJESH</t>
  </si>
  <si>
    <t>WEINSTEIN, JOSEPH</t>
  </si>
  <si>
    <t>HAYEK, MAROUN</t>
  </si>
  <si>
    <t>ALAM, MUHAMMAD</t>
  </si>
  <si>
    <t>KHAN, QAISAR</t>
  </si>
  <si>
    <t>SZWEDO, DOMINIKA</t>
  </si>
  <si>
    <t>GONZALEZ, GUS</t>
  </si>
  <si>
    <t>BROOKS, GARY</t>
  </si>
  <si>
    <t>GONZALEZ, DANIEL</t>
  </si>
  <si>
    <t>This adddress is for a Pulmonary Rehab clinic.  Not MD office , AID - Misclassified as PCP having Internal Medicine as only qualifier</t>
  </si>
  <si>
    <t>SENTER, SHAUN</t>
  </si>
  <si>
    <t>NYENWE, EBENEZER</t>
  </si>
  <si>
    <t>ABDUL-HUSSEIN, MUSTAFA</t>
  </si>
  <si>
    <t>GERMAN, VALERIE</t>
  </si>
  <si>
    <t>GARNER, TRACE</t>
  </si>
  <si>
    <t>agree</t>
  </si>
  <si>
    <t>ASMB: Pediatrics</t>
  </si>
  <si>
    <t>insufficient data</t>
  </si>
  <si>
    <t>ASMB: Pediatrics (secondary)</t>
  </si>
  <si>
    <t>ASMB: Pulmonary Disease</t>
  </si>
  <si>
    <t>ASMB: Pulmonary Disease &amp; Critical Care Medicine</t>
  </si>
  <si>
    <t>ASMB: Pulmonar agrease</t>
  </si>
  <si>
    <t>ASMB: Pediatric Rheumatology</t>
  </si>
  <si>
    <t>ASMB: Vascular Surgery</t>
  </si>
  <si>
    <t>Permanently Closed</t>
  </si>
  <si>
    <t>Closed Door Pharmacy - validated by phone</t>
  </si>
  <si>
    <t>Validated as retail by calling pharmacy</t>
  </si>
  <si>
    <t>NPI is for pharmacist, not facility</t>
  </si>
  <si>
    <t>WALGREEN CO (&lt;UNAVAIL&gt;)</t>
  </si>
  <si>
    <t>Medical Supplies</t>
  </si>
  <si>
    <t>MAINLINE PHARMACY SERVICES INC (&lt;UNAVAIL&gt;)</t>
  </si>
  <si>
    <t>Not in ESI/Cigna Standard network</t>
  </si>
  <si>
    <t>WEST SIDE PHARMACY INCORPORATED (&lt;UNAVAIL&gt;)</t>
  </si>
  <si>
    <t>Compounding Pharmacy</t>
  </si>
  <si>
    <t>MVP WARREN LLC (&lt;UNAVAIL&gt;)</t>
  </si>
  <si>
    <t>Walgreens location that has pharmacist on site, not solely DME.</t>
  </si>
  <si>
    <t>Provider not being in network is not a valid reason to request removal.</t>
  </si>
  <si>
    <t>Pharmacy offers standard services in addition to compounding. https://www.westsidepharmacybenton.com/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</si>
</sst>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3F3F76"/>
      <name val="Calibri"/>
      <family val="2"/>
      <scheme val="minor"/>
    </font>
    <font>
      <b/>
      <sz val="11"/>
      <color theme="0"/>
      <name val="Calibri"/>
      <family val="2"/>
      <scheme val="minor"/>
    </font>
    <font>
      <sz val="10"/>
      <color theme="1"/>
      <name val="Calibri"/>
      <family val="2"/>
      <scheme val="minor"/>
    </font>
    <font>
      <i/>
      <sz val="10"/>
      <color theme="1"/>
      <name val="Calibri"/>
      <family val="2"/>
      <scheme val="minor"/>
    </font>
    <font>
      <b/>
      <i/>
      <sz val="11"/>
      <color theme="1"/>
      <name val="Calibri"/>
      <family val="2"/>
      <scheme val="minor"/>
    </font>
    <font>
      <b/>
      <u/>
      <sz val="18"/>
      <color theme="0"/>
      <name val="Calibri"/>
      <family val="2"/>
      <scheme val="minor"/>
    </font>
    <font>
      <b/>
      <u/>
      <sz val="20"/>
      <color theme="1"/>
      <name val="Calibri"/>
      <family val="2"/>
      <scheme val="minor"/>
    </font>
    <font>
      <i/>
      <sz val="11"/>
      <color theme="1"/>
      <name val="Calibri"/>
      <family val="2"/>
      <scheme val="minor"/>
    </font>
    <font>
      <b/>
      <sz val="11"/>
      <color theme="1"/>
      <name val="Calibri"/>
      <family val="2"/>
      <scheme val="minor"/>
    </font>
    <font>
      <i/>
      <sz val="11"/>
      <color rgb="FFFF0000"/>
      <name val="Calibri"/>
      <family val="2"/>
      <scheme val="minor"/>
    </font>
    <font>
      <sz val="11"/>
      <name val="Calibri"/>
      <family val="2"/>
      <scheme val="minor"/>
    </font>
    <font>
      <sz val="10"/>
      <name val="Calibri"/>
      <family val="2"/>
      <scheme val="minor"/>
    </font>
    <font>
      <sz val="11"/>
      <color rgb="FFFF0000"/>
      <name val="Calibri"/>
      <family val="2"/>
      <scheme val="minor"/>
    </font>
  </fonts>
  <fills count="5">
    <fill>
      <patternFill patternType="none"/>
    </fill>
    <fill>
      <patternFill patternType="gray125"/>
    </fill>
    <fill>
      <patternFill patternType="solid">
        <fgColor rgb="FFFFCC99"/>
      </patternFill>
    </fill>
    <fill>
      <patternFill patternType="solid">
        <fgColor rgb="FF00B0F0"/>
        <bgColor indexed="64"/>
      </patternFill>
    </fill>
    <fill>
      <patternFill patternType="solid">
        <fgColor theme="0" tint="-0.14999847407452621"/>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s>
  <cellStyleXfs count="2">
    <xf numFmtId="0" fontId="0" fillId="0" borderId="0"/>
    <xf numFmtId="0" fontId="1" fillId="2" borderId="1" applyNumberFormat="0" applyAlignment="0" applyProtection="0"/>
  </cellStyleXfs>
  <cellXfs count="33">
    <xf numFmtId="0" fontId="0" fillId="0" borderId="0" xfId="0"/>
    <xf numFmtId="0" fontId="3" fillId="0" borderId="0" xfId="0" applyFont="1" applyAlignment="1">
      <alignment horizontal="left"/>
    </xf>
    <xf numFmtId="0" fontId="0" fillId="0" borderId="0" xfId="0" applyAlignment="1">
      <alignment horizontal="left"/>
    </xf>
    <xf numFmtId="0" fontId="2" fillId="3" borderId="2" xfId="0" applyFont="1" applyFill="1" applyBorder="1" applyAlignment="1">
      <alignment horizontal="left"/>
    </xf>
    <xf numFmtId="0" fontId="3" fillId="0" borderId="0" xfId="0" applyFont="1" applyAlignment="1">
      <alignment horizontal="left" wrapText="1"/>
    </xf>
    <xf numFmtId="0" fontId="3" fillId="4" borderId="2" xfId="0" applyFont="1" applyFill="1" applyBorder="1" applyAlignment="1">
      <alignment horizontal="left" vertical="top" wrapText="1"/>
    </xf>
    <xf numFmtId="0" fontId="3" fillId="0" borderId="0" xfId="0" applyFont="1" applyAlignment="1">
      <alignment horizontal="left" vertical="top" wrapText="1"/>
    </xf>
    <xf numFmtId="0" fontId="2" fillId="3" borderId="0" xfId="0" applyFont="1" applyFill="1" applyAlignment="1">
      <alignment horizontal="left"/>
    </xf>
    <xf numFmtId="0" fontId="2" fillId="3" borderId="2" xfId="0" applyFont="1" applyFill="1" applyBorder="1" applyAlignment="1">
      <alignment horizontal="left" wrapText="1"/>
    </xf>
    <xf numFmtId="0" fontId="1" fillId="2" borderId="1" xfId="1" applyAlignment="1">
      <alignment horizontal="left" wrapText="1"/>
    </xf>
    <xf numFmtId="0" fontId="3" fillId="4" borderId="2" xfId="0" quotePrefix="1" applyFont="1" applyFill="1" applyBorder="1" applyAlignment="1">
      <alignment horizontal="left" vertical="top" wrapText="1"/>
    </xf>
    <xf numFmtId="0" fontId="0" fillId="0" borderId="0" xfId="0"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1" fontId="0" fillId="0" borderId="0" xfId="0" applyNumberFormat="1"/>
    <xf numFmtId="0" fontId="11" fillId="0" borderId="0" xfId="0" applyFont="1"/>
    <xf numFmtId="1" fontId="11" fillId="0" borderId="0" xfId="0" applyNumberFormat="1" applyFont="1"/>
    <xf numFmtId="0" fontId="11" fillId="2" borderId="1" xfId="1" applyFont="1" applyAlignment="1">
      <alignment horizontal="left" wrapText="1"/>
    </xf>
    <xf numFmtId="0" fontId="12" fillId="0" borderId="0" xfId="0" applyFont="1" applyAlignment="1">
      <alignment horizontal="left"/>
    </xf>
    <xf numFmtId="0" fontId="13" fillId="0" borderId="0" xfId="0" applyFont="1"/>
    <xf numFmtId="0" fontId="7" fillId="0" borderId="0" xfId="0" applyFont="1" applyAlignment="1">
      <alignment horizontal="center" vertical="center"/>
    </xf>
    <xf numFmtId="0" fontId="6" fillId="3" borderId="13" xfId="0" applyFont="1" applyFill="1" applyBorder="1" applyAlignment="1">
      <alignment horizontal="left" vertical="center"/>
    </xf>
    <xf numFmtId="0" fontId="6" fillId="3" borderId="12" xfId="0" applyFont="1" applyFill="1" applyBorder="1" applyAlignment="1">
      <alignment horizontal="left" vertical="center"/>
    </xf>
    <xf numFmtId="0" fontId="6" fillId="3" borderId="11" xfId="0" applyFont="1" applyFill="1" applyBorder="1" applyAlignment="1">
      <alignment horizontal="left" vertical="center"/>
    </xf>
    <xf numFmtId="0" fontId="0" fillId="0" borderId="9"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kbluecross-my.sharepoint.com/Users/wchase/Downloads/Initial_PY2018_Provider_Type-NPI_lis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ider Classifications"/>
      <sheetName val="Removals"/>
      <sheetName val="TaxonomyMap"/>
    </sheetNames>
    <sheetDataSet>
      <sheetData sheetId="0" refreshError="1"/>
      <sheetData sheetId="1" refreshError="1"/>
      <sheetData sheetId="2">
        <row r="1">
          <cell r="A1" t="str">
            <v>C010</v>
          </cell>
          <cell r="B1" t="str">
            <v>C020</v>
          </cell>
          <cell r="C1" t="str">
            <v>C030</v>
          </cell>
          <cell r="D1" t="str">
            <v>C040</v>
          </cell>
          <cell r="E1" t="str">
            <v>C050</v>
          </cell>
          <cell r="F1" t="str">
            <v>C060</v>
          </cell>
          <cell r="G1" t="str">
            <v>C070</v>
          </cell>
          <cell r="H1" t="str">
            <v>C080</v>
          </cell>
          <cell r="I1" t="str">
            <v>C090</v>
          </cell>
          <cell r="J1" t="str">
            <v>C100</v>
          </cell>
          <cell r="K1" t="str">
            <v>C110</v>
          </cell>
          <cell r="L1" t="str">
            <v>C120</v>
          </cell>
          <cell r="M1" t="str">
            <v>C130</v>
          </cell>
          <cell r="N1" t="str">
            <v>C140</v>
          </cell>
          <cell r="O1" t="str">
            <v>C150</v>
          </cell>
          <cell r="P1" t="str">
            <v>C160</v>
          </cell>
          <cell r="Q1" t="str">
            <v>C170</v>
          </cell>
          <cell r="R1" t="str">
            <v>C180</v>
          </cell>
          <cell r="S1" t="str">
            <v>C200</v>
          </cell>
          <cell r="T1" t="str">
            <v>C210</v>
          </cell>
          <cell r="U1" t="str">
            <v>C220</v>
          </cell>
          <cell r="V1" t="str">
            <v>C230</v>
          </cell>
          <cell r="W1" t="str">
            <v>C240</v>
          </cell>
          <cell r="X1" t="str">
            <v>C250</v>
          </cell>
          <cell r="Y1" t="str">
            <v>C260</v>
          </cell>
          <cell r="Z1" t="str">
            <v>C280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7"/>
  <sheetViews>
    <sheetView showGridLines="0" workbookViewId="0">
      <selection activeCell="C6" sqref="C6:O6"/>
    </sheetView>
  </sheetViews>
  <sheetFormatPr defaultColWidth="9.140625" defaultRowHeight="15" x14ac:dyDescent="0.25"/>
  <cols>
    <col min="1" max="7" width="9.140625" style="11"/>
    <col min="8" max="8" width="9.140625" style="11" customWidth="1"/>
    <col min="9" max="14" width="9.140625" style="11"/>
    <col min="15" max="15" width="24.85546875" style="11" customWidth="1"/>
    <col min="16" max="16384" width="9.140625" style="11"/>
  </cols>
  <sheetData>
    <row r="1" spans="2:16" ht="15.75" thickBot="1" x14ac:dyDescent="0.3"/>
    <row r="2" spans="2:16" x14ac:dyDescent="0.25">
      <c r="B2" s="19"/>
      <c r="C2" s="18"/>
      <c r="D2" s="18"/>
      <c r="E2" s="18"/>
      <c r="F2" s="18"/>
      <c r="G2" s="18"/>
      <c r="H2" s="18"/>
      <c r="I2" s="18"/>
      <c r="J2" s="18"/>
      <c r="K2" s="18"/>
      <c r="L2" s="18"/>
      <c r="M2" s="18"/>
      <c r="N2" s="18"/>
      <c r="O2" s="18"/>
      <c r="P2" s="17"/>
    </row>
    <row r="3" spans="2:16" ht="26.25" x14ac:dyDescent="0.25">
      <c r="B3" s="16"/>
      <c r="C3" s="26" t="s">
        <v>29</v>
      </c>
      <c r="D3" s="26"/>
      <c r="E3" s="26"/>
      <c r="F3" s="26"/>
      <c r="G3" s="26"/>
      <c r="H3" s="26"/>
      <c r="I3" s="26"/>
      <c r="J3" s="26"/>
      <c r="K3" s="26"/>
      <c r="L3" s="26"/>
      <c r="M3" s="26"/>
      <c r="N3" s="26"/>
      <c r="O3" s="26"/>
      <c r="P3" s="15"/>
    </row>
    <row r="4" spans="2:16" ht="15.75" thickBot="1" x14ac:dyDescent="0.3">
      <c r="B4" s="16"/>
      <c r="P4" s="15"/>
    </row>
    <row r="5" spans="2:16" ht="23.25" x14ac:dyDescent="0.25">
      <c r="B5" s="16"/>
      <c r="C5" s="27" t="s">
        <v>19</v>
      </c>
      <c r="D5" s="28"/>
      <c r="E5" s="28"/>
      <c r="F5" s="28"/>
      <c r="G5" s="28"/>
      <c r="H5" s="28"/>
      <c r="I5" s="28"/>
      <c r="J5" s="28"/>
      <c r="K5" s="28"/>
      <c r="L5" s="28"/>
      <c r="M5" s="28"/>
      <c r="N5" s="28"/>
      <c r="O5" s="29"/>
      <c r="P5" s="15"/>
    </row>
    <row r="6" spans="2:16" ht="292.5" customHeight="1" x14ac:dyDescent="0.25">
      <c r="B6" s="16"/>
      <c r="C6" s="30" t="s">
        <v>25</v>
      </c>
      <c r="D6" s="31"/>
      <c r="E6" s="31"/>
      <c r="F6" s="31"/>
      <c r="G6" s="31"/>
      <c r="H6" s="31"/>
      <c r="I6" s="31"/>
      <c r="J6" s="31"/>
      <c r="K6" s="31"/>
      <c r="L6" s="31"/>
      <c r="M6" s="31"/>
      <c r="N6" s="31"/>
      <c r="O6" s="32"/>
      <c r="P6" s="15"/>
    </row>
    <row r="7" spans="2:16" ht="75.75" customHeight="1" thickBot="1" x14ac:dyDescent="0.3">
      <c r="B7" s="14"/>
      <c r="C7" s="13"/>
      <c r="D7" s="13"/>
      <c r="E7" s="13"/>
      <c r="F7" s="13"/>
      <c r="G7" s="13"/>
      <c r="H7" s="13"/>
      <c r="I7" s="13"/>
      <c r="J7" s="13"/>
      <c r="K7" s="13"/>
      <c r="L7" s="13"/>
      <c r="M7" s="13"/>
      <c r="N7" s="13"/>
      <c r="O7" s="13"/>
      <c r="P7" s="12"/>
    </row>
  </sheetData>
  <mergeCells count="3">
    <mergeCell ref="C3:O3"/>
    <mergeCell ref="C5:O5"/>
    <mergeCell ref="C6:O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12806"/>
  <sheetViews>
    <sheetView tabSelected="1" zoomScaleNormal="100" workbookViewId="0">
      <selection activeCell="H8" sqref="H8"/>
    </sheetView>
  </sheetViews>
  <sheetFormatPr defaultColWidth="0" defaultRowHeight="12.75" x14ac:dyDescent="0.2"/>
  <cols>
    <col min="1" max="1" width="23.140625" style="1" customWidth="1"/>
    <col min="2" max="2" width="12.140625" style="1" customWidth="1"/>
    <col min="3" max="3" width="31.28515625" style="1" customWidth="1"/>
    <col min="4" max="4" width="15.5703125" style="1" customWidth="1"/>
    <col min="5" max="5" width="17.42578125" style="1" customWidth="1"/>
    <col min="6" max="6" width="14.5703125" style="1" customWidth="1"/>
    <col min="7" max="7" width="12.5703125" style="1" customWidth="1"/>
    <col min="8" max="8" width="53.7109375" style="4" customWidth="1"/>
    <col min="9" max="9" width="7.7109375" style="1" customWidth="1"/>
    <col min="10" max="10" width="15.7109375" style="1" customWidth="1"/>
    <col min="11" max="11" width="16.5703125" style="4" bestFit="1" customWidth="1"/>
    <col min="12" max="12" width="28.85546875" style="4" customWidth="1"/>
    <col min="13" max="13" width="21.5703125" style="1" hidden="1" customWidth="1"/>
    <col min="14" max="15" width="9.140625" style="1" hidden="1" customWidth="1"/>
    <col min="16" max="20" width="0" style="1" hidden="1" customWidth="1"/>
    <col min="21" max="16382" width="9.140625" style="1" hidden="1"/>
    <col min="16383" max="16383" width="1" style="1" customWidth="1"/>
    <col min="16384" max="16384" width="7.5703125" style="1" customWidth="1"/>
  </cols>
  <sheetData>
    <row r="1" spans="1:12" s="2" customFormat="1" ht="15" x14ac:dyDescent="0.25">
      <c r="B1" s="3" t="s">
        <v>5</v>
      </c>
      <c r="C1" s="3" t="s">
        <v>0</v>
      </c>
      <c r="D1" s="3" t="s">
        <v>1</v>
      </c>
      <c r="E1" s="3" t="s">
        <v>26</v>
      </c>
      <c r="F1" s="3" t="s">
        <v>2</v>
      </c>
      <c r="G1" s="3" t="s">
        <v>4</v>
      </c>
      <c r="H1" s="8" t="s">
        <v>17</v>
      </c>
      <c r="I1" s="3" t="s">
        <v>28</v>
      </c>
      <c r="J1" s="3" t="s">
        <v>15</v>
      </c>
      <c r="K1" s="8" t="s">
        <v>20</v>
      </c>
      <c r="L1" s="8" t="s">
        <v>3</v>
      </c>
    </row>
    <row r="2" spans="1:12" s="6" customFormat="1" ht="127.5" x14ac:dyDescent="0.25">
      <c r="A2" s="5" t="s">
        <v>7</v>
      </c>
      <c r="B2" s="5" t="s">
        <v>6</v>
      </c>
      <c r="C2" s="5" t="s">
        <v>8</v>
      </c>
      <c r="D2" s="5" t="s">
        <v>9</v>
      </c>
      <c r="E2" s="5"/>
      <c r="F2" s="5" t="s">
        <v>14</v>
      </c>
      <c r="G2" s="5" t="s">
        <v>10</v>
      </c>
      <c r="H2" s="5" t="s">
        <v>18</v>
      </c>
      <c r="I2" s="10" t="s">
        <v>27</v>
      </c>
      <c r="J2" s="5" t="s">
        <v>16</v>
      </c>
      <c r="K2" s="5" t="s">
        <v>24</v>
      </c>
      <c r="L2" s="5" t="s">
        <v>21</v>
      </c>
    </row>
    <row r="3" spans="1:12" ht="15" x14ac:dyDescent="0.25">
      <c r="A3" s="7" t="s">
        <v>11</v>
      </c>
      <c r="B3" t="s">
        <v>30</v>
      </c>
      <c r="C3" t="s">
        <v>31</v>
      </c>
      <c r="D3" t="str">
        <f>HYPERLINK("https://rhld.insurance.arkansas.gov/NPILookup?Npi=1003823006","1003823006")</f>
        <v>1003823006</v>
      </c>
      <c r="E3" t="s">
        <v>33</v>
      </c>
      <c r="F3" t="s">
        <v>12</v>
      </c>
      <c r="G3" s="20">
        <v>1</v>
      </c>
      <c r="H3" t="s">
        <v>4648</v>
      </c>
      <c r="I3" t="s">
        <v>4357</v>
      </c>
      <c r="J3" s="9">
        <v>54321</v>
      </c>
      <c r="K3" s="9" t="s">
        <v>23</v>
      </c>
      <c r="L3" s="9"/>
    </row>
    <row r="4" spans="1:12" ht="15" x14ac:dyDescent="0.25">
      <c r="B4" t="s">
        <v>30</v>
      </c>
      <c r="C4" t="s">
        <v>31</v>
      </c>
      <c r="D4" t="str">
        <f>HYPERLINK("https://rhld.insurance.arkansas.gov/NPILookup?Npi=1013589514","1013589514")</f>
        <v>1013589514</v>
      </c>
      <c r="E4" t="s">
        <v>34</v>
      </c>
      <c r="F4" t="s">
        <v>12</v>
      </c>
      <c r="G4" s="20">
        <v>1</v>
      </c>
      <c r="H4" t="s">
        <v>4649</v>
      </c>
      <c r="I4" t="s">
        <v>32</v>
      </c>
      <c r="J4" s="9">
        <v>54321</v>
      </c>
      <c r="K4" s="9" t="s">
        <v>23</v>
      </c>
      <c r="L4" s="9"/>
    </row>
    <row r="5" spans="1:12" ht="15" x14ac:dyDescent="0.25">
      <c r="B5" t="s">
        <v>30</v>
      </c>
      <c r="C5" t="s">
        <v>31</v>
      </c>
      <c r="D5" t="str">
        <f>HYPERLINK("https://rhld.insurance.arkansas.gov/NPILookup?Npi=1013922541","1013922541")</f>
        <v>1013922541</v>
      </c>
      <c r="E5" t="s">
        <v>35</v>
      </c>
      <c r="F5" t="s">
        <v>12</v>
      </c>
      <c r="G5" s="20">
        <v>1</v>
      </c>
      <c r="H5" t="s">
        <v>4651</v>
      </c>
      <c r="I5" t="s">
        <v>32</v>
      </c>
      <c r="J5" s="9">
        <v>54321</v>
      </c>
      <c r="K5" s="9" t="s">
        <v>23</v>
      </c>
      <c r="L5" s="9"/>
    </row>
    <row r="6" spans="1:12" ht="15" x14ac:dyDescent="0.25">
      <c r="B6" t="s">
        <v>30</v>
      </c>
      <c r="C6" t="s">
        <v>31</v>
      </c>
      <c r="D6" t="str">
        <f>HYPERLINK("https://rhld.insurance.arkansas.gov/NPILookup?Npi=1023423423","1023423423")</f>
        <v>1023423423</v>
      </c>
      <c r="E6" t="s">
        <v>36</v>
      </c>
      <c r="F6" t="s">
        <v>13</v>
      </c>
      <c r="G6" s="20">
        <v>1</v>
      </c>
      <c r="H6" t="s">
        <v>4650</v>
      </c>
      <c r="I6" t="s">
        <v>32</v>
      </c>
      <c r="J6" s="9">
        <v>54321</v>
      </c>
      <c r="K6" s="9" t="s">
        <v>23</v>
      </c>
      <c r="L6" s="9"/>
    </row>
    <row r="7" spans="1:12" ht="45" x14ac:dyDescent="0.25">
      <c r="B7" t="s">
        <v>30</v>
      </c>
      <c r="C7" t="s">
        <v>31</v>
      </c>
      <c r="D7" t="str">
        <f>HYPERLINK("https://rhld.insurance.arkansas.gov/NPILookup?Npi=1003823006","1003823006")</f>
        <v>1003823006</v>
      </c>
      <c r="E7" t="s">
        <v>4652</v>
      </c>
      <c r="F7" t="s">
        <v>12</v>
      </c>
      <c r="G7" s="20">
        <v>1</v>
      </c>
      <c r="H7" t="s">
        <v>4653</v>
      </c>
      <c r="I7" t="s">
        <v>32</v>
      </c>
      <c r="J7" s="9">
        <v>54321</v>
      </c>
      <c r="K7" s="9" t="s">
        <v>22</v>
      </c>
      <c r="L7" s="9" t="s">
        <v>4659</v>
      </c>
    </row>
    <row r="8" spans="1:12" ht="45" x14ac:dyDescent="0.25">
      <c r="B8" t="s">
        <v>30</v>
      </c>
      <c r="C8" t="s">
        <v>31</v>
      </c>
      <c r="D8" t="str">
        <f>HYPERLINK("https://rhld.insurance.arkansas.gov/NPILookup?Npi=1013589514","1013589514")</f>
        <v>1013589514</v>
      </c>
      <c r="E8" t="s">
        <v>4654</v>
      </c>
      <c r="F8" t="s">
        <v>12</v>
      </c>
      <c r="G8" s="20">
        <v>1</v>
      </c>
      <c r="H8" t="s">
        <v>4655</v>
      </c>
      <c r="I8" t="s">
        <v>32</v>
      </c>
      <c r="J8" s="9">
        <v>54321</v>
      </c>
      <c r="K8" s="9" t="s">
        <v>22</v>
      </c>
      <c r="L8" s="9" t="s">
        <v>4660</v>
      </c>
    </row>
    <row r="9" spans="1:12" ht="75" x14ac:dyDescent="0.25">
      <c r="B9" t="s">
        <v>30</v>
      </c>
      <c r="C9" t="s">
        <v>31</v>
      </c>
      <c r="D9" t="str">
        <f>HYPERLINK("https://rhld.insurance.arkansas.gov/NPILookup?Npi=1013922541","1013922541")</f>
        <v>1013922541</v>
      </c>
      <c r="E9" t="s">
        <v>4656</v>
      </c>
      <c r="F9" t="s">
        <v>12</v>
      </c>
      <c r="G9" s="20">
        <v>1</v>
      </c>
      <c r="H9" t="s">
        <v>4657</v>
      </c>
      <c r="I9" t="s">
        <v>32</v>
      </c>
      <c r="J9" s="9">
        <v>54321</v>
      </c>
      <c r="K9" s="9" t="s">
        <v>22</v>
      </c>
      <c r="L9" s="9" t="s">
        <v>4661</v>
      </c>
    </row>
    <row r="10" spans="1:12" ht="45" x14ac:dyDescent="0.25">
      <c r="B10" t="s">
        <v>30</v>
      </c>
      <c r="C10" t="s">
        <v>31</v>
      </c>
      <c r="D10" t="str">
        <f>HYPERLINK("https://rhld.insurance.arkansas.gov/NPILookup?Npi=1023423423","1023423423")</f>
        <v>1023423423</v>
      </c>
      <c r="E10" t="s">
        <v>4658</v>
      </c>
      <c r="F10" t="s">
        <v>12</v>
      </c>
      <c r="G10" s="20">
        <v>1</v>
      </c>
      <c r="H10" t="s">
        <v>4655</v>
      </c>
      <c r="I10" t="s">
        <v>32</v>
      </c>
      <c r="J10" s="9">
        <v>54321</v>
      </c>
      <c r="K10" s="9" t="s">
        <v>22</v>
      </c>
      <c r="L10" s="9" t="s">
        <v>4660</v>
      </c>
    </row>
    <row r="11" spans="1:12" ht="15" x14ac:dyDescent="0.25">
      <c r="B11" t="s">
        <v>80</v>
      </c>
      <c r="C11" t="s">
        <v>81</v>
      </c>
      <c r="D11" t="str">
        <f>HYPERLINK("https://rhld.insurance.arkansas.gov/NPILookup?Npi=1033313671","1033313671")</f>
        <v>1033313671</v>
      </c>
      <c r="E11" t="s">
        <v>86</v>
      </c>
      <c r="F11" t="s">
        <v>13</v>
      </c>
      <c r="G11" s="20">
        <v>1</v>
      </c>
      <c r="H11" t="s">
        <v>87</v>
      </c>
      <c r="I11" t="s">
        <v>32</v>
      </c>
      <c r="J11" s="9"/>
      <c r="K11" s="23"/>
      <c r="L11" s="9"/>
    </row>
    <row r="12" spans="1:12" ht="15" x14ac:dyDescent="0.25">
      <c r="B12" t="s">
        <v>40</v>
      </c>
      <c r="C12" s="21" t="s">
        <v>41</v>
      </c>
      <c r="D12" s="21" t="str">
        <f>HYPERLINK("https://rhld.insurance.arkansas.gov/NPILookup?Npi=1346623352","1346623352")</f>
        <v>1346623352</v>
      </c>
      <c r="E12" s="21" t="s">
        <v>42</v>
      </c>
      <c r="F12" s="21" t="s">
        <v>12</v>
      </c>
      <c r="G12" s="22">
        <v>1</v>
      </c>
      <c r="H12" s="21" t="s">
        <v>43</v>
      </c>
      <c r="I12" s="21" t="s">
        <v>32</v>
      </c>
      <c r="J12" s="9"/>
      <c r="K12" s="23"/>
      <c r="L12" s="9"/>
    </row>
    <row r="13" spans="1:12" ht="15" x14ac:dyDescent="0.25">
      <c r="B13" t="s">
        <v>40</v>
      </c>
      <c r="C13" s="21" t="s">
        <v>41</v>
      </c>
      <c r="D13" s="21" t="str">
        <f>HYPERLINK("https://rhld.insurance.arkansas.gov/NPILookup?Npi=1477201937","1477201937")</f>
        <v>1477201937</v>
      </c>
      <c r="E13" s="21" t="s">
        <v>39</v>
      </c>
      <c r="F13" s="21" t="s">
        <v>12</v>
      </c>
      <c r="G13" s="22">
        <v>1</v>
      </c>
      <c r="H13" s="21" t="s">
        <v>44</v>
      </c>
      <c r="I13" s="21" t="s">
        <v>32</v>
      </c>
      <c r="J13" s="9"/>
      <c r="K13" s="23"/>
      <c r="L13" s="9"/>
    </row>
    <row r="14" spans="1:12" ht="15" x14ac:dyDescent="0.25">
      <c r="B14" t="s">
        <v>40</v>
      </c>
      <c r="C14" s="21" t="s">
        <v>41</v>
      </c>
      <c r="D14" s="21" t="str">
        <f>HYPERLINK("https://rhld.insurance.arkansas.gov/NPILookup?Npi=1639346687","1639346687")</f>
        <v>1639346687</v>
      </c>
      <c r="E14" s="21" t="s">
        <v>45</v>
      </c>
      <c r="F14" s="21" t="s">
        <v>12</v>
      </c>
      <c r="G14" s="22">
        <v>1</v>
      </c>
      <c r="H14" s="21" t="s">
        <v>46</v>
      </c>
      <c r="I14" s="21" t="s">
        <v>32</v>
      </c>
      <c r="J14" s="9"/>
      <c r="K14" s="9"/>
      <c r="L14" s="9"/>
    </row>
    <row r="15" spans="1:12" ht="15" x14ac:dyDescent="0.25">
      <c r="B15" t="s">
        <v>47</v>
      </c>
      <c r="C15" s="21" t="s">
        <v>48</v>
      </c>
      <c r="D15" s="21" t="str">
        <f>HYPERLINK("https://rhld.insurance.arkansas.gov/NPILookup?Npi=1346623352","1346623352")</f>
        <v>1346623352</v>
      </c>
      <c r="E15" s="21" t="s">
        <v>42</v>
      </c>
      <c r="F15" s="21" t="s">
        <v>12</v>
      </c>
      <c r="G15" s="22">
        <v>1</v>
      </c>
      <c r="H15" s="21" t="s">
        <v>49</v>
      </c>
      <c r="I15" s="21" t="s">
        <v>32</v>
      </c>
      <c r="J15" s="9"/>
      <c r="K15" s="23"/>
      <c r="L15" s="9"/>
    </row>
    <row r="16" spans="1:12" ht="15" x14ac:dyDescent="0.25">
      <c r="B16" t="s">
        <v>47</v>
      </c>
      <c r="C16" s="21" t="s">
        <v>48</v>
      </c>
      <c r="D16" s="21" t="str">
        <f>HYPERLINK("https://rhld.insurance.arkansas.gov/NPILookup?Npi=1477201937","1477201937")</f>
        <v>1477201937</v>
      </c>
      <c r="E16" s="21" t="s">
        <v>39</v>
      </c>
      <c r="F16" s="21" t="s">
        <v>12</v>
      </c>
      <c r="G16" s="22">
        <v>1</v>
      </c>
      <c r="H16" s="21" t="s">
        <v>50</v>
      </c>
      <c r="I16" s="21" t="s">
        <v>32</v>
      </c>
      <c r="J16" s="9"/>
      <c r="K16" s="23"/>
      <c r="L16" s="9"/>
    </row>
    <row r="17" spans="2:12" ht="15" x14ac:dyDescent="0.25">
      <c r="B17" t="s">
        <v>47</v>
      </c>
      <c r="C17" s="21" t="s">
        <v>48</v>
      </c>
      <c r="D17" s="21" t="str">
        <f>HYPERLINK("https://rhld.insurance.arkansas.gov/NPILookup?Npi=1639346687","1639346687")</f>
        <v>1639346687</v>
      </c>
      <c r="E17" s="21" t="s">
        <v>45</v>
      </c>
      <c r="F17" s="21" t="s">
        <v>12</v>
      </c>
      <c r="G17" s="22">
        <v>1</v>
      </c>
      <c r="H17" s="21" t="s">
        <v>46</v>
      </c>
      <c r="I17" s="21" t="s">
        <v>32</v>
      </c>
      <c r="J17" s="9"/>
      <c r="K17" s="23"/>
      <c r="L17" s="9"/>
    </row>
    <row r="18" spans="2:12" ht="15" x14ac:dyDescent="0.25">
      <c r="B18" t="s">
        <v>51</v>
      </c>
      <c r="C18" t="s">
        <v>52</v>
      </c>
      <c r="D18" t="str">
        <f>HYPERLINK("https://rhld.insurance.arkansas.gov/NPILookup?Npi=1578091104","1578091104")</f>
        <v>1578091104</v>
      </c>
      <c r="E18" t="s">
        <v>53</v>
      </c>
      <c r="F18" t="s">
        <v>13</v>
      </c>
      <c r="G18" s="20">
        <v>1</v>
      </c>
      <c r="H18" t="s">
        <v>4357</v>
      </c>
      <c r="I18" t="s">
        <v>4357</v>
      </c>
      <c r="J18" s="9"/>
      <c r="K18" s="23"/>
      <c r="L18" s="9"/>
    </row>
    <row r="19" spans="2:12" ht="15" x14ac:dyDescent="0.25">
      <c r="B19" t="s">
        <v>54</v>
      </c>
      <c r="C19" s="21" t="s">
        <v>55</v>
      </c>
      <c r="D19" s="21" t="str">
        <f>HYPERLINK("https://rhld.insurance.arkansas.gov/NPILookup?Npi=1346623352","1346623352")</f>
        <v>1346623352</v>
      </c>
      <c r="E19" s="21" t="s">
        <v>42</v>
      </c>
      <c r="F19" s="21" t="s">
        <v>12</v>
      </c>
      <c r="G19" s="22">
        <v>1</v>
      </c>
      <c r="H19" s="21" t="s">
        <v>56</v>
      </c>
      <c r="I19" s="21" t="s">
        <v>32</v>
      </c>
      <c r="J19" s="9"/>
      <c r="K19" s="23"/>
      <c r="L19" s="9"/>
    </row>
    <row r="20" spans="2:12" ht="15" x14ac:dyDescent="0.25">
      <c r="B20" t="s">
        <v>54</v>
      </c>
      <c r="C20" s="21" t="s">
        <v>55</v>
      </c>
      <c r="D20" s="21" t="str">
        <f>HYPERLINK("https://rhld.insurance.arkansas.gov/NPILookup?Npi=1477039782","1477039782")</f>
        <v>1477039782</v>
      </c>
      <c r="E20" s="21" t="s">
        <v>57</v>
      </c>
      <c r="F20" s="21" t="s">
        <v>12</v>
      </c>
      <c r="G20" s="22">
        <v>1</v>
      </c>
      <c r="H20" s="21" t="s">
        <v>58</v>
      </c>
      <c r="I20" s="21" t="s">
        <v>32</v>
      </c>
      <c r="J20" s="9"/>
      <c r="K20" s="23"/>
      <c r="L20" s="9"/>
    </row>
    <row r="21" spans="2:12" ht="15" x14ac:dyDescent="0.25">
      <c r="B21" t="s">
        <v>54</v>
      </c>
      <c r="C21" s="21" t="s">
        <v>55</v>
      </c>
      <c r="D21" s="21" t="str">
        <f>HYPERLINK("https://rhld.insurance.arkansas.gov/NPILookup?Npi=1477201937","1477201937")</f>
        <v>1477201937</v>
      </c>
      <c r="E21" s="21" t="s">
        <v>39</v>
      </c>
      <c r="F21" s="21" t="s">
        <v>12</v>
      </c>
      <c r="G21" s="22">
        <v>1</v>
      </c>
      <c r="H21" s="21" t="s">
        <v>58</v>
      </c>
      <c r="I21" s="21" t="s">
        <v>32</v>
      </c>
      <c r="J21" s="9"/>
      <c r="K21" s="23"/>
      <c r="L21" s="9"/>
    </row>
    <row r="22" spans="2:12" ht="15" x14ac:dyDescent="0.25">
      <c r="B22" t="s">
        <v>54</v>
      </c>
      <c r="C22" s="21" t="s">
        <v>55</v>
      </c>
      <c r="D22" s="21" t="str">
        <f>HYPERLINK("https://rhld.insurance.arkansas.gov/NPILookup?Npi=1639346687","1639346687")</f>
        <v>1639346687</v>
      </c>
      <c r="E22" s="21" t="s">
        <v>45</v>
      </c>
      <c r="F22" s="21" t="s">
        <v>12</v>
      </c>
      <c r="G22" s="22">
        <v>1</v>
      </c>
      <c r="H22" s="21" t="s">
        <v>59</v>
      </c>
      <c r="I22" s="21" t="s">
        <v>32</v>
      </c>
      <c r="J22" s="9"/>
      <c r="K22" s="23"/>
      <c r="L22" s="9"/>
    </row>
    <row r="23" spans="2:12" ht="15" x14ac:dyDescent="0.25">
      <c r="B23" t="s">
        <v>60</v>
      </c>
      <c r="C23" s="21" t="s">
        <v>61</v>
      </c>
      <c r="D23" s="21" t="str">
        <f>HYPERLINK("https://rhld.insurance.arkansas.gov/NPILookup?Npi=1639346687","1639346687")</f>
        <v>1639346687</v>
      </c>
      <c r="E23" s="21" t="s">
        <v>45</v>
      </c>
      <c r="F23" s="21" t="s">
        <v>12</v>
      </c>
      <c r="G23" s="22">
        <v>1</v>
      </c>
      <c r="H23" s="21" t="s">
        <v>62</v>
      </c>
      <c r="I23" s="21" t="s">
        <v>32</v>
      </c>
      <c r="J23" s="9"/>
      <c r="K23" s="23"/>
      <c r="L23" s="9"/>
    </row>
    <row r="24" spans="2:12" ht="15" x14ac:dyDescent="0.25">
      <c r="B24" t="s">
        <v>63</v>
      </c>
      <c r="C24" s="21" t="s">
        <v>64</v>
      </c>
      <c r="D24" s="21" t="str">
        <f>HYPERLINK("https://rhld.insurance.arkansas.gov/NPILookup?Npi=1861449639","1861449639")</f>
        <v>1861449639</v>
      </c>
      <c r="E24" s="21" t="s">
        <v>65</v>
      </c>
      <c r="F24" s="21" t="s">
        <v>12</v>
      </c>
      <c r="G24" s="22">
        <v>1</v>
      </c>
      <c r="H24" s="21" t="s">
        <v>66</v>
      </c>
      <c r="I24" s="21" t="s">
        <v>32</v>
      </c>
      <c r="J24" s="9"/>
      <c r="K24" s="23"/>
      <c r="L24" s="9"/>
    </row>
    <row r="25" spans="2:12" ht="15" x14ac:dyDescent="0.25">
      <c r="B25" t="s">
        <v>67</v>
      </c>
      <c r="C25" s="21" t="s">
        <v>68</v>
      </c>
      <c r="D25" s="21" t="str">
        <f>HYPERLINK("https://rhld.insurance.arkansas.gov/NPILookup?Npi=1255359931","1255359931")</f>
        <v>1255359931</v>
      </c>
      <c r="E25" s="21" t="s">
        <v>69</v>
      </c>
      <c r="F25" s="21" t="s">
        <v>12</v>
      </c>
      <c r="G25" s="22">
        <v>1</v>
      </c>
      <c r="H25" s="21" t="s">
        <v>4338</v>
      </c>
      <c r="I25" s="21" t="s">
        <v>32</v>
      </c>
      <c r="J25" s="9"/>
      <c r="K25" s="23"/>
      <c r="L25" s="9"/>
    </row>
    <row r="26" spans="2:12" ht="15" x14ac:dyDescent="0.25">
      <c r="B26" t="s">
        <v>67</v>
      </c>
      <c r="C26" s="21" t="s">
        <v>68</v>
      </c>
      <c r="D26" s="21" t="str">
        <f>HYPERLINK("https://rhld.insurance.arkansas.gov/NPILookup?Npi=1285724757","1285724757")</f>
        <v>1285724757</v>
      </c>
      <c r="E26" s="21" t="s">
        <v>70</v>
      </c>
      <c r="F26" s="21" t="s">
        <v>12</v>
      </c>
      <c r="G26" s="22">
        <v>2</v>
      </c>
      <c r="H26" s="21" t="s">
        <v>71</v>
      </c>
      <c r="I26" s="21" t="s">
        <v>32</v>
      </c>
      <c r="J26" s="9"/>
      <c r="K26" s="23"/>
      <c r="L26" s="9"/>
    </row>
    <row r="27" spans="2:12" ht="15" x14ac:dyDescent="0.25">
      <c r="B27" t="s">
        <v>67</v>
      </c>
      <c r="C27" s="21" t="s">
        <v>68</v>
      </c>
      <c r="D27" s="21" t="str">
        <f>HYPERLINK("https://rhld.insurance.arkansas.gov/NPILookup?Npi=1356761696","1356761696")</f>
        <v>1356761696</v>
      </c>
      <c r="E27" s="21" t="s">
        <v>72</v>
      </c>
      <c r="F27" s="21" t="s">
        <v>12</v>
      </c>
      <c r="G27" s="22">
        <v>1</v>
      </c>
      <c r="H27" s="21" t="s">
        <v>4338</v>
      </c>
      <c r="I27" s="21" t="s">
        <v>32</v>
      </c>
      <c r="J27" s="9"/>
      <c r="K27" s="23"/>
      <c r="L27" s="9"/>
    </row>
    <row r="28" spans="2:12" ht="15" x14ac:dyDescent="0.25">
      <c r="B28" t="s">
        <v>67</v>
      </c>
      <c r="C28" s="21" t="s">
        <v>68</v>
      </c>
      <c r="D28" s="21" t="str">
        <f>HYPERLINK("https://rhld.insurance.arkansas.gov/NPILookup?Npi=1447222880","1447222880")</f>
        <v>1447222880</v>
      </c>
      <c r="E28" s="21" t="s">
        <v>73</v>
      </c>
      <c r="F28" s="21" t="s">
        <v>12</v>
      </c>
      <c r="G28" s="22">
        <v>1</v>
      </c>
      <c r="H28" s="21" t="s">
        <v>4338</v>
      </c>
      <c r="I28" s="21" t="s">
        <v>4357</v>
      </c>
      <c r="J28" s="9"/>
      <c r="K28" s="23"/>
      <c r="L28" s="9"/>
    </row>
    <row r="29" spans="2:12" ht="15" x14ac:dyDescent="0.25">
      <c r="B29" t="s">
        <v>67</v>
      </c>
      <c r="C29" s="21" t="s">
        <v>68</v>
      </c>
      <c r="D29" s="21" t="str">
        <f>HYPERLINK("https://rhld.insurance.arkansas.gov/NPILookup?Npi=1487601712","1487601712")</f>
        <v>1487601712</v>
      </c>
      <c r="E29" s="21" t="s">
        <v>74</v>
      </c>
      <c r="F29" s="21" t="s">
        <v>12</v>
      </c>
      <c r="G29" s="22">
        <v>1</v>
      </c>
      <c r="H29" s="21" t="s">
        <v>4338</v>
      </c>
      <c r="I29" s="21" t="s">
        <v>32</v>
      </c>
      <c r="J29" s="9"/>
      <c r="K29" s="23"/>
      <c r="L29" s="9"/>
    </row>
    <row r="30" spans="2:12" ht="15" x14ac:dyDescent="0.25">
      <c r="B30" t="s">
        <v>67</v>
      </c>
      <c r="C30" s="21" t="s">
        <v>68</v>
      </c>
      <c r="D30" s="21" t="str">
        <f>HYPERLINK("https://rhld.insurance.arkansas.gov/NPILookup?Npi=1508956160","1508956160")</f>
        <v>1508956160</v>
      </c>
      <c r="E30" s="21" t="s">
        <v>75</v>
      </c>
      <c r="F30" s="21" t="s">
        <v>12</v>
      </c>
      <c r="G30" s="22">
        <v>1</v>
      </c>
      <c r="H30" s="21" t="s">
        <v>4338</v>
      </c>
      <c r="I30" s="21" t="s">
        <v>32</v>
      </c>
      <c r="J30" s="9"/>
      <c r="K30" s="9"/>
      <c r="L30" s="9"/>
    </row>
    <row r="31" spans="2:12" ht="15" x14ac:dyDescent="0.25">
      <c r="B31" t="s">
        <v>67</v>
      </c>
      <c r="C31" s="21" t="s">
        <v>68</v>
      </c>
      <c r="D31" s="21" t="str">
        <f>HYPERLINK("https://rhld.insurance.arkansas.gov/NPILookup?Npi=1609031558","1609031558")</f>
        <v>1609031558</v>
      </c>
      <c r="E31" s="21" t="s">
        <v>76</v>
      </c>
      <c r="F31" s="21" t="s">
        <v>12</v>
      </c>
      <c r="G31" s="22">
        <v>1</v>
      </c>
      <c r="H31" s="21" t="s">
        <v>4338</v>
      </c>
      <c r="I31" s="21" t="s">
        <v>32</v>
      </c>
      <c r="J31" s="9"/>
      <c r="K31" s="9"/>
      <c r="L31" s="9"/>
    </row>
    <row r="32" spans="2:12" ht="15" x14ac:dyDescent="0.25">
      <c r="B32" t="s">
        <v>67</v>
      </c>
      <c r="C32" s="21" t="s">
        <v>68</v>
      </c>
      <c r="D32" s="21" t="str">
        <f>HYPERLINK("https://rhld.insurance.arkansas.gov/NPILookup?Npi=1639143829","1639143829")</f>
        <v>1639143829</v>
      </c>
      <c r="E32" s="21" t="s">
        <v>77</v>
      </c>
      <c r="F32" s="21" t="s">
        <v>12</v>
      </c>
      <c r="G32" s="22">
        <v>1</v>
      </c>
      <c r="H32" s="21" t="s">
        <v>78</v>
      </c>
      <c r="I32" s="21" t="s">
        <v>32</v>
      </c>
      <c r="J32" s="9"/>
      <c r="K32" s="9"/>
      <c r="L32" s="9"/>
    </row>
    <row r="33" spans="2:12" ht="15" x14ac:dyDescent="0.25">
      <c r="B33" t="s">
        <v>67</v>
      </c>
      <c r="C33" s="21" t="s">
        <v>68</v>
      </c>
      <c r="D33" s="21" t="str">
        <f>HYPERLINK("https://rhld.insurance.arkansas.gov/NPILookup?Npi=1679577233","1679577233")</f>
        <v>1679577233</v>
      </c>
      <c r="E33" s="21" t="s">
        <v>79</v>
      </c>
      <c r="F33" s="21" t="s">
        <v>12</v>
      </c>
      <c r="G33" s="22">
        <v>1</v>
      </c>
      <c r="H33" s="21" t="s">
        <v>4338</v>
      </c>
      <c r="I33" s="21" t="s">
        <v>4357</v>
      </c>
      <c r="J33" s="9"/>
      <c r="K33" s="9"/>
      <c r="L33" s="9"/>
    </row>
    <row r="34" spans="2:12" ht="15" x14ac:dyDescent="0.25">
      <c r="B34" t="s">
        <v>80</v>
      </c>
      <c r="C34" t="s">
        <v>81</v>
      </c>
      <c r="D34" t="str">
        <f>HYPERLINK("https://rhld.insurance.arkansas.gov/NPILookup?Npi=1013259100","1013259100")</f>
        <v>1013259100</v>
      </c>
      <c r="E34" t="s">
        <v>82</v>
      </c>
      <c r="F34" t="s">
        <v>12</v>
      </c>
      <c r="G34" s="20">
        <v>2</v>
      </c>
      <c r="H34" t="s">
        <v>4339</v>
      </c>
      <c r="I34" t="s">
        <v>32</v>
      </c>
      <c r="J34" s="9"/>
      <c r="K34" s="9"/>
      <c r="L34" s="9"/>
    </row>
    <row r="35" spans="2:12" ht="15" x14ac:dyDescent="0.25">
      <c r="B35" t="s">
        <v>80</v>
      </c>
      <c r="C35" t="s">
        <v>81</v>
      </c>
      <c r="D35" t="str">
        <f>HYPERLINK("https://rhld.insurance.arkansas.gov/NPILookup?Npi=1013353150","1013353150")</f>
        <v>1013353150</v>
      </c>
      <c r="E35" t="s">
        <v>83</v>
      </c>
      <c r="F35" t="s">
        <v>12</v>
      </c>
      <c r="G35" s="20">
        <v>1</v>
      </c>
      <c r="H35" t="s">
        <v>4338</v>
      </c>
      <c r="I35" t="s">
        <v>32</v>
      </c>
      <c r="J35" s="9"/>
      <c r="K35" s="9"/>
      <c r="L35" s="9"/>
    </row>
    <row r="36" spans="2:12" ht="15" x14ac:dyDescent="0.25">
      <c r="B36" t="s">
        <v>80</v>
      </c>
      <c r="C36" t="s">
        <v>81</v>
      </c>
      <c r="D36" t="str">
        <f>HYPERLINK("https://rhld.insurance.arkansas.gov/NPILookup?Npi=1033100433","1033100433")</f>
        <v>1033100433</v>
      </c>
      <c r="E36" t="s">
        <v>85</v>
      </c>
      <c r="F36" t="s">
        <v>12</v>
      </c>
      <c r="G36" s="20">
        <v>1</v>
      </c>
      <c r="H36" t="s">
        <v>4338</v>
      </c>
      <c r="I36" t="s">
        <v>32</v>
      </c>
      <c r="J36" s="9"/>
      <c r="K36" s="9"/>
      <c r="L36" s="9"/>
    </row>
    <row r="37" spans="2:12" ht="15" x14ac:dyDescent="0.25">
      <c r="B37" t="s">
        <v>80</v>
      </c>
      <c r="C37" t="s">
        <v>81</v>
      </c>
      <c r="D37" t="str">
        <f>HYPERLINK("https://rhld.insurance.arkansas.gov/NPILookup?Npi=1043236730","1043236730")</f>
        <v>1043236730</v>
      </c>
      <c r="E37" t="s">
        <v>88</v>
      </c>
      <c r="F37" t="s">
        <v>13</v>
      </c>
      <c r="G37" s="20">
        <v>1</v>
      </c>
      <c r="H37" t="s">
        <v>87</v>
      </c>
      <c r="I37" t="s">
        <v>4357</v>
      </c>
      <c r="J37" s="9"/>
      <c r="K37" s="9"/>
      <c r="L37" s="9"/>
    </row>
    <row r="38" spans="2:12" ht="15" x14ac:dyDescent="0.25">
      <c r="B38" t="s">
        <v>80</v>
      </c>
      <c r="C38" t="s">
        <v>81</v>
      </c>
      <c r="D38" t="str">
        <f>HYPERLINK("https://rhld.insurance.arkansas.gov/NPILookup?Npi=1063532828","1063532828")</f>
        <v>1063532828</v>
      </c>
      <c r="E38" t="s">
        <v>89</v>
      </c>
      <c r="F38" t="s">
        <v>13</v>
      </c>
      <c r="G38" s="20">
        <v>1</v>
      </c>
      <c r="H38" t="s">
        <v>87</v>
      </c>
      <c r="I38" t="s">
        <v>4357</v>
      </c>
      <c r="J38" s="9"/>
      <c r="K38" s="9"/>
      <c r="L38" s="9"/>
    </row>
    <row r="39" spans="2:12" ht="15" x14ac:dyDescent="0.25">
      <c r="B39" t="s">
        <v>80</v>
      </c>
      <c r="C39" t="s">
        <v>81</v>
      </c>
      <c r="D39" t="str">
        <f>HYPERLINK("https://rhld.insurance.arkansas.gov/NPILookup?Npi=1114241619","1114241619")</f>
        <v>1114241619</v>
      </c>
      <c r="E39" t="s">
        <v>91</v>
      </c>
      <c r="F39" t="s">
        <v>13</v>
      </c>
      <c r="G39" s="20">
        <v>1</v>
      </c>
      <c r="H39" t="s">
        <v>87</v>
      </c>
      <c r="I39" t="s">
        <v>4357</v>
      </c>
      <c r="J39" s="9"/>
      <c r="K39" s="9"/>
      <c r="L39" s="9"/>
    </row>
    <row r="40" spans="2:12" ht="15" x14ac:dyDescent="0.25">
      <c r="B40" t="s">
        <v>80</v>
      </c>
      <c r="C40" t="s">
        <v>81</v>
      </c>
      <c r="D40" t="str">
        <f>HYPERLINK("https://rhld.insurance.arkansas.gov/NPILookup?Npi=1104476720","1104476720")</f>
        <v>1104476720</v>
      </c>
      <c r="E40" t="s">
        <v>90</v>
      </c>
      <c r="F40" t="s">
        <v>12</v>
      </c>
      <c r="G40" s="20">
        <v>1</v>
      </c>
      <c r="H40" t="s">
        <v>4338</v>
      </c>
      <c r="I40" t="s">
        <v>32</v>
      </c>
      <c r="J40" s="9"/>
      <c r="K40" s="9"/>
      <c r="L40" s="9"/>
    </row>
    <row r="41" spans="2:12" ht="15" x14ac:dyDescent="0.25">
      <c r="B41" t="s">
        <v>80</v>
      </c>
      <c r="C41" t="s">
        <v>81</v>
      </c>
      <c r="D41" t="str">
        <f>HYPERLINK("https://rhld.insurance.arkansas.gov/NPILookup?Npi=1255336194","1255336194")</f>
        <v>1255336194</v>
      </c>
      <c r="E41" t="s">
        <v>96</v>
      </c>
      <c r="F41" t="s">
        <v>13</v>
      </c>
      <c r="G41" s="20">
        <v>1</v>
      </c>
      <c r="H41" t="s">
        <v>87</v>
      </c>
      <c r="I41" t="s">
        <v>4357</v>
      </c>
      <c r="J41" s="9"/>
      <c r="K41" s="9"/>
      <c r="L41" s="9"/>
    </row>
    <row r="42" spans="2:12" ht="15" x14ac:dyDescent="0.25">
      <c r="B42" t="s">
        <v>80</v>
      </c>
      <c r="C42" t="s">
        <v>81</v>
      </c>
      <c r="D42" t="str">
        <f>HYPERLINK("https://rhld.insurance.arkansas.gov/NPILookup?Npi=1124505730","1124505730")</f>
        <v>1124505730</v>
      </c>
      <c r="E42" t="s">
        <v>92</v>
      </c>
      <c r="F42" t="s">
        <v>12</v>
      </c>
      <c r="G42" s="20">
        <v>1</v>
      </c>
      <c r="H42" t="s">
        <v>4338</v>
      </c>
      <c r="I42" t="s">
        <v>32</v>
      </c>
      <c r="J42" s="9"/>
      <c r="K42" s="9"/>
      <c r="L42" s="9"/>
    </row>
    <row r="43" spans="2:12" ht="15" x14ac:dyDescent="0.25">
      <c r="B43" t="s">
        <v>80</v>
      </c>
      <c r="C43" t="s">
        <v>81</v>
      </c>
      <c r="D43" t="str">
        <f>HYPERLINK("https://rhld.insurance.arkansas.gov/NPILookup?Npi=1225095094","1225095094")</f>
        <v>1225095094</v>
      </c>
      <c r="E43" t="s">
        <v>93</v>
      </c>
      <c r="F43" t="s">
        <v>12</v>
      </c>
      <c r="G43" s="20">
        <v>1</v>
      </c>
      <c r="H43" t="s">
        <v>4338</v>
      </c>
      <c r="I43" t="s">
        <v>32</v>
      </c>
      <c r="J43" s="9"/>
      <c r="K43" s="9"/>
      <c r="L43" s="9"/>
    </row>
    <row r="44" spans="2:12" ht="15" x14ac:dyDescent="0.25">
      <c r="B44" t="s">
        <v>80</v>
      </c>
      <c r="C44" t="s">
        <v>81</v>
      </c>
      <c r="D44" t="str">
        <f>HYPERLINK("https://rhld.insurance.arkansas.gov/NPILookup?Npi=1255330957","1255330957")</f>
        <v>1255330957</v>
      </c>
      <c r="E44" t="s">
        <v>95</v>
      </c>
      <c r="F44" t="s">
        <v>12</v>
      </c>
      <c r="G44" s="20">
        <v>1</v>
      </c>
      <c r="H44" t="s">
        <v>4338</v>
      </c>
      <c r="I44" t="s">
        <v>4357</v>
      </c>
      <c r="J44" s="9"/>
      <c r="K44" s="9"/>
      <c r="L44" s="9"/>
    </row>
    <row r="45" spans="2:12" ht="15" x14ac:dyDescent="0.25">
      <c r="B45" t="s">
        <v>80</v>
      </c>
      <c r="C45" t="s">
        <v>81</v>
      </c>
      <c r="D45" t="str">
        <f>HYPERLINK("https://rhld.insurance.arkansas.gov/NPILookup?Npi=1285936625","1285936625")</f>
        <v>1285936625</v>
      </c>
      <c r="E45" t="s">
        <v>97</v>
      </c>
      <c r="F45" t="s">
        <v>13</v>
      </c>
      <c r="G45" s="20">
        <v>1</v>
      </c>
      <c r="H45" t="s">
        <v>87</v>
      </c>
      <c r="I45" t="s">
        <v>32</v>
      </c>
      <c r="J45" s="9"/>
      <c r="K45" s="9"/>
      <c r="L45" s="9"/>
    </row>
    <row r="46" spans="2:12" ht="15" x14ac:dyDescent="0.25">
      <c r="B46" t="s">
        <v>80</v>
      </c>
      <c r="C46" t="s">
        <v>81</v>
      </c>
      <c r="D46" t="str">
        <f>HYPERLINK("https://rhld.insurance.arkansas.gov/NPILookup?Npi=1366443640","1366443640")</f>
        <v>1366443640</v>
      </c>
      <c r="E46" t="s">
        <v>100</v>
      </c>
      <c r="F46" t="s">
        <v>13</v>
      </c>
      <c r="G46" s="20">
        <v>1</v>
      </c>
      <c r="H46" t="s">
        <v>87</v>
      </c>
      <c r="I46" t="s">
        <v>32</v>
      </c>
      <c r="J46" s="9"/>
      <c r="K46" s="9"/>
      <c r="L46" s="9"/>
    </row>
    <row r="47" spans="2:12" ht="15" x14ac:dyDescent="0.25">
      <c r="B47" t="s">
        <v>80</v>
      </c>
      <c r="C47" t="s">
        <v>81</v>
      </c>
      <c r="D47" t="str">
        <f>HYPERLINK("https://rhld.insurance.arkansas.gov/NPILookup?Npi=1346311404","1346311404")</f>
        <v>1346311404</v>
      </c>
      <c r="E47" t="s">
        <v>98</v>
      </c>
      <c r="F47" t="s">
        <v>12</v>
      </c>
      <c r="G47" s="20">
        <v>1</v>
      </c>
      <c r="H47" t="s">
        <v>4338</v>
      </c>
      <c r="I47" t="s">
        <v>32</v>
      </c>
      <c r="J47" s="9"/>
      <c r="K47" s="9"/>
      <c r="L47" s="9"/>
    </row>
    <row r="48" spans="2:12" ht="15" x14ac:dyDescent="0.25">
      <c r="B48" t="s">
        <v>80</v>
      </c>
      <c r="C48" t="s">
        <v>81</v>
      </c>
      <c r="D48" t="str">
        <f>HYPERLINK("https://rhld.insurance.arkansas.gov/NPILookup?Npi=1366421653","1366421653")</f>
        <v>1366421653</v>
      </c>
      <c r="E48" t="s">
        <v>99</v>
      </c>
      <c r="F48" t="s">
        <v>12</v>
      </c>
      <c r="G48" s="20">
        <v>1</v>
      </c>
      <c r="H48" t="s">
        <v>4338</v>
      </c>
      <c r="I48" t="s">
        <v>32</v>
      </c>
      <c r="J48" s="9"/>
      <c r="K48" s="9"/>
      <c r="L48" s="9"/>
    </row>
    <row r="49" spans="2:12" ht="15" x14ac:dyDescent="0.25">
      <c r="B49" t="s">
        <v>80</v>
      </c>
      <c r="C49" t="s">
        <v>81</v>
      </c>
      <c r="D49" t="str">
        <f>HYPERLINK("https://rhld.insurance.arkansas.gov/NPILookup?Npi=1366691552","1366691552")</f>
        <v>1366691552</v>
      </c>
      <c r="E49" t="s">
        <v>103</v>
      </c>
      <c r="F49" t="s">
        <v>13</v>
      </c>
      <c r="G49" s="20">
        <v>1</v>
      </c>
      <c r="H49" t="s">
        <v>87</v>
      </c>
      <c r="I49" t="s">
        <v>32</v>
      </c>
      <c r="J49" s="9"/>
      <c r="K49" s="9"/>
      <c r="L49" s="9"/>
    </row>
    <row r="50" spans="2:12" ht="15" x14ac:dyDescent="0.25">
      <c r="B50" t="s">
        <v>80</v>
      </c>
      <c r="C50" t="s">
        <v>81</v>
      </c>
      <c r="D50" t="str">
        <f>HYPERLINK("https://rhld.insurance.arkansas.gov/NPILookup?Npi=1366486821","1366486821")</f>
        <v>1366486821</v>
      </c>
      <c r="E50" t="s">
        <v>101</v>
      </c>
      <c r="F50" t="s">
        <v>12</v>
      </c>
      <c r="G50" s="20">
        <v>1</v>
      </c>
      <c r="H50" t="s">
        <v>4338</v>
      </c>
      <c r="I50" t="s">
        <v>4357</v>
      </c>
      <c r="J50" s="9"/>
      <c r="K50" s="9"/>
      <c r="L50" s="9"/>
    </row>
    <row r="51" spans="2:12" ht="15" x14ac:dyDescent="0.25">
      <c r="B51" t="s">
        <v>80</v>
      </c>
      <c r="C51" t="s">
        <v>81</v>
      </c>
      <c r="D51" t="str">
        <f>HYPERLINK("https://rhld.insurance.arkansas.gov/NPILookup?Npi=1437342797","1437342797")</f>
        <v>1437342797</v>
      </c>
      <c r="E51" t="s">
        <v>106</v>
      </c>
      <c r="F51" t="s">
        <v>13</v>
      </c>
      <c r="G51" s="20">
        <v>1</v>
      </c>
      <c r="H51" t="s">
        <v>87</v>
      </c>
      <c r="I51" t="s">
        <v>4357</v>
      </c>
      <c r="J51" s="9"/>
      <c r="K51" s="9"/>
      <c r="L51" s="9"/>
    </row>
    <row r="52" spans="2:12" ht="15" x14ac:dyDescent="0.25">
      <c r="B52" t="s">
        <v>80</v>
      </c>
      <c r="C52" t="s">
        <v>81</v>
      </c>
      <c r="D52" t="str">
        <f>HYPERLINK("https://rhld.insurance.arkansas.gov/NPILookup?Npi=1487829156","1487829156")</f>
        <v>1487829156</v>
      </c>
      <c r="E52" t="s">
        <v>112</v>
      </c>
      <c r="F52" t="s">
        <v>13</v>
      </c>
      <c r="G52" s="20">
        <v>1</v>
      </c>
      <c r="H52" t="s">
        <v>4357</v>
      </c>
      <c r="I52" t="s">
        <v>4357</v>
      </c>
      <c r="J52" s="9"/>
      <c r="K52" s="9"/>
      <c r="L52" s="9"/>
    </row>
    <row r="53" spans="2:12" ht="15" x14ac:dyDescent="0.25">
      <c r="B53" t="s">
        <v>80</v>
      </c>
      <c r="C53" t="s">
        <v>81</v>
      </c>
      <c r="D53" t="str">
        <f>HYPERLINK("https://rhld.insurance.arkansas.gov/NPILookup?Npi=1457352106","1457352106")</f>
        <v>1457352106</v>
      </c>
      <c r="E53" t="s">
        <v>107</v>
      </c>
      <c r="F53" t="s">
        <v>12</v>
      </c>
      <c r="G53" s="20">
        <v>1</v>
      </c>
      <c r="H53" t="s">
        <v>4338</v>
      </c>
      <c r="I53" t="s">
        <v>4357</v>
      </c>
      <c r="J53" s="9"/>
      <c r="K53" s="9"/>
      <c r="L53" s="9"/>
    </row>
    <row r="54" spans="2:12" ht="15" x14ac:dyDescent="0.25">
      <c r="B54" t="s">
        <v>80</v>
      </c>
      <c r="C54" t="s">
        <v>81</v>
      </c>
      <c r="D54" t="str">
        <f>HYPERLINK("https://rhld.insurance.arkansas.gov/NPILookup?Npi=1477558955","1477558955")</f>
        <v>1477558955</v>
      </c>
      <c r="E54" t="s">
        <v>109</v>
      </c>
      <c r="F54" t="s">
        <v>12</v>
      </c>
      <c r="G54" s="20">
        <v>1</v>
      </c>
      <c r="H54" t="s">
        <v>4338</v>
      </c>
      <c r="I54" t="s">
        <v>32</v>
      </c>
      <c r="J54" s="9"/>
      <c r="K54" s="9"/>
      <c r="L54" s="9"/>
    </row>
    <row r="55" spans="2:12" ht="15" x14ac:dyDescent="0.25">
      <c r="B55" t="s">
        <v>80</v>
      </c>
      <c r="C55" t="s">
        <v>81</v>
      </c>
      <c r="D55" t="str">
        <f>HYPERLINK("https://rhld.insurance.arkansas.gov/NPILookup?Npi=1487690186","1487690186")</f>
        <v>1487690186</v>
      </c>
      <c r="E55" t="s">
        <v>110</v>
      </c>
      <c r="F55" t="s">
        <v>12</v>
      </c>
      <c r="G55" s="20">
        <v>1</v>
      </c>
      <c r="H55" t="s">
        <v>4338</v>
      </c>
      <c r="I55" t="s">
        <v>32</v>
      </c>
      <c r="J55" s="9"/>
      <c r="K55" s="9"/>
      <c r="L55" s="9"/>
    </row>
    <row r="56" spans="2:12" ht="15" x14ac:dyDescent="0.25">
      <c r="B56" t="s">
        <v>80</v>
      </c>
      <c r="C56" t="s">
        <v>81</v>
      </c>
      <c r="D56" t="str">
        <f>HYPERLINK("https://rhld.insurance.arkansas.gov/NPILookup?Npi=1487814273","1487814273")</f>
        <v>1487814273</v>
      </c>
      <c r="E56" t="s">
        <v>111</v>
      </c>
      <c r="F56" t="s">
        <v>12</v>
      </c>
      <c r="G56" s="20">
        <v>1</v>
      </c>
      <c r="H56" t="s">
        <v>4338</v>
      </c>
      <c r="I56" t="s">
        <v>32</v>
      </c>
      <c r="J56" s="9"/>
      <c r="K56" s="9"/>
      <c r="L56" s="9"/>
    </row>
    <row r="57" spans="2:12" ht="15" x14ac:dyDescent="0.25">
      <c r="B57" t="s">
        <v>80</v>
      </c>
      <c r="C57" t="s">
        <v>81</v>
      </c>
      <c r="D57" t="str">
        <f>HYPERLINK("https://rhld.insurance.arkansas.gov/NPILookup?Npi=1518261171","1518261171")</f>
        <v>1518261171</v>
      </c>
      <c r="E57" t="s">
        <v>117</v>
      </c>
      <c r="F57" t="s">
        <v>13</v>
      </c>
      <c r="G57" s="20">
        <v>1</v>
      </c>
      <c r="H57" t="s">
        <v>87</v>
      </c>
      <c r="I57" t="s">
        <v>4357</v>
      </c>
      <c r="J57" s="9"/>
      <c r="K57" s="9"/>
      <c r="L57" s="9"/>
    </row>
    <row r="58" spans="2:12" ht="15" x14ac:dyDescent="0.25">
      <c r="B58" t="s">
        <v>80</v>
      </c>
      <c r="C58" t="s">
        <v>81</v>
      </c>
      <c r="D58" t="str">
        <f>HYPERLINK("https://rhld.insurance.arkansas.gov/NPILookup?Npi=1487852422","1487852422")</f>
        <v>1487852422</v>
      </c>
      <c r="E58" t="s">
        <v>113</v>
      </c>
      <c r="F58" t="s">
        <v>12</v>
      </c>
      <c r="G58" s="20">
        <v>1</v>
      </c>
      <c r="H58" t="s">
        <v>4338</v>
      </c>
      <c r="I58" t="s">
        <v>32</v>
      </c>
      <c r="J58" s="9"/>
      <c r="K58" s="9"/>
      <c r="L58" s="9"/>
    </row>
    <row r="59" spans="2:12" ht="15" x14ac:dyDescent="0.25">
      <c r="B59" t="s">
        <v>80</v>
      </c>
      <c r="C59" t="s">
        <v>81</v>
      </c>
      <c r="D59" t="str">
        <f>HYPERLINK("https://rhld.insurance.arkansas.gov/NPILookup?Npi=1508837006","1508837006")</f>
        <v>1508837006</v>
      </c>
      <c r="E59" t="s">
        <v>115</v>
      </c>
      <c r="F59" t="s">
        <v>12</v>
      </c>
      <c r="G59" s="20">
        <v>1</v>
      </c>
      <c r="H59" t="s">
        <v>4338</v>
      </c>
      <c r="I59" t="s">
        <v>32</v>
      </c>
      <c r="J59" s="9"/>
      <c r="K59" s="9"/>
      <c r="L59" s="9"/>
    </row>
    <row r="60" spans="2:12" ht="15" x14ac:dyDescent="0.25">
      <c r="B60" t="s">
        <v>80</v>
      </c>
      <c r="C60" t="s">
        <v>81</v>
      </c>
      <c r="D60" t="str">
        <f>HYPERLINK("https://rhld.insurance.arkansas.gov/NPILookup?Npi=1518225762","1518225762")</f>
        <v>1518225762</v>
      </c>
      <c r="E60" t="s">
        <v>116</v>
      </c>
      <c r="F60" t="s">
        <v>12</v>
      </c>
      <c r="G60" s="20">
        <v>1</v>
      </c>
      <c r="H60" t="s">
        <v>4338</v>
      </c>
      <c r="I60" t="s">
        <v>32</v>
      </c>
      <c r="J60" s="9"/>
      <c r="K60" s="9"/>
      <c r="L60" s="9"/>
    </row>
    <row r="61" spans="2:12" ht="15" x14ac:dyDescent="0.25">
      <c r="B61" t="s">
        <v>80</v>
      </c>
      <c r="C61" t="s">
        <v>81</v>
      </c>
      <c r="D61" t="str">
        <f>HYPERLINK("https://rhld.insurance.arkansas.gov/NPILookup?Npi=1619075363","1619075363")</f>
        <v>1619075363</v>
      </c>
      <c r="E61" t="s">
        <v>122</v>
      </c>
      <c r="F61" t="s">
        <v>13</v>
      </c>
      <c r="G61" s="20">
        <v>1</v>
      </c>
      <c r="H61" t="s">
        <v>87</v>
      </c>
      <c r="I61" t="s">
        <v>4357</v>
      </c>
      <c r="J61" s="9"/>
      <c r="K61" s="9"/>
      <c r="L61" s="9"/>
    </row>
    <row r="62" spans="2:12" ht="15" x14ac:dyDescent="0.25">
      <c r="B62" t="s">
        <v>80</v>
      </c>
      <c r="C62" t="s">
        <v>81</v>
      </c>
      <c r="D62" t="str">
        <f>HYPERLINK("https://rhld.insurance.arkansas.gov/NPILookup?Npi=1528220639","1528220639")</f>
        <v>1528220639</v>
      </c>
      <c r="E62" t="s">
        <v>118</v>
      </c>
      <c r="F62" t="s">
        <v>12</v>
      </c>
      <c r="G62" s="20">
        <v>1</v>
      </c>
      <c r="H62" t="s">
        <v>4338</v>
      </c>
      <c r="I62" t="s">
        <v>32</v>
      </c>
      <c r="J62" s="9"/>
      <c r="K62" s="9"/>
      <c r="L62" s="9"/>
    </row>
    <row r="63" spans="2:12" ht="15" x14ac:dyDescent="0.25">
      <c r="B63" t="s">
        <v>80</v>
      </c>
      <c r="C63" t="s">
        <v>81</v>
      </c>
      <c r="D63" t="str">
        <f>HYPERLINK("https://rhld.insurance.arkansas.gov/NPILookup?Npi=1538543632","1538543632")</f>
        <v>1538543632</v>
      </c>
      <c r="E63" t="s">
        <v>119</v>
      </c>
      <c r="F63" t="s">
        <v>12</v>
      </c>
      <c r="G63" s="20">
        <v>1</v>
      </c>
      <c r="H63" t="s">
        <v>4338</v>
      </c>
      <c r="I63" t="s">
        <v>32</v>
      </c>
      <c r="J63" s="9"/>
      <c r="K63" s="9"/>
      <c r="L63" s="9"/>
    </row>
    <row r="64" spans="2:12" ht="15" x14ac:dyDescent="0.25">
      <c r="B64" t="s">
        <v>80</v>
      </c>
      <c r="C64" t="s">
        <v>81</v>
      </c>
      <c r="D64" t="str">
        <f>HYPERLINK("https://rhld.insurance.arkansas.gov/NPILookup?Npi=1568605905","1568605905")</f>
        <v>1568605905</v>
      </c>
      <c r="E64" t="s">
        <v>120</v>
      </c>
      <c r="F64" t="s">
        <v>12</v>
      </c>
      <c r="G64" s="20">
        <v>1</v>
      </c>
      <c r="H64" t="s">
        <v>4338</v>
      </c>
      <c r="I64" t="s">
        <v>32</v>
      </c>
      <c r="J64" s="9"/>
      <c r="K64" s="9"/>
      <c r="L64" s="9"/>
    </row>
    <row r="65" spans="2:12" ht="15" x14ac:dyDescent="0.25">
      <c r="B65" t="s">
        <v>80</v>
      </c>
      <c r="C65" t="s">
        <v>81</v>
      </c>
      <c r="D65" t="str">
        <f>HYPERLINK("https://rhld.insurance.arkansas.gov/NPILookup?Npi=1578507661","1578507661")</f>
        <v>1578507661</v>
      </c>
      <c r="E65" t="s">
        <v>121</v>
      </c>
      <c r="F65" t="s">
        <v>12</v>
      </c>
      <c r="G65" s="20">
        <v>1</v>
      </c>
      <c r="H65" t="s">
        <v>4338</v>
      </c>
      <c r="I65" t="s">
        <v>4357</v>
      </c>
      <c r="J65" s="9"/>
      <c r="K65" s="9"/>
      <c r="L65" s="9"/>
    </row>
    <row r="66" spans="2:12" ht="15" x14ac:dyDescent="0.25">
      <c r="B66" t="s">
        <v>80</v>
      </c>
      <c r="C66" t="s">
        <v>81</v>
      </c>
      <c r="D66" t="str">
        <f>HYPERLINK("https://rhld.insurance.arkansas.gov/NPILookup?Npi=1639186406","1639186406")</f>
        <v>1639186406</v>
      </c>
      <c r="E66" t="s">
        <v>123</v>
      </c>
      <c r="F66" t="s">
        <v>13</v>
      </c>
      <c r="G66" s="20">
        <v>1</v>
      </c>
      <c r="H66" t="s">
        <v>87</v>
      </c>
      <c r="I66" t="s">
        <v>4357</v>
      </c>
      <c r="J66" s="9"/>
      <c r="K66" s="9"/>
      <c r="L66" s="9"/>
    </row>
    <row r="67" spans="2:12" ht="15" x14ac:dyDescent="0.25">
      <c r="B67" t="s">
        <v>80</v>
      </c>
      <c r="C67" t="s">
        <v>81</v>
      </c>
      <c r="D67" t="str">
        <f>HYPERLINK("https://rhld.insurance.arkansas.gov/NPILookup?Npi=1669764106","1669764106")</f>
        <v>1669764106</v>
      </c>
      <c r="E67" t="s">
        <v>126</v>
      </c>
      <c r="F67" t="s">
        <v>13</v>
      </c>
      <c r="G67" s="20">
        <v>1</v>
      </c>
      <c r="H67" t="s">
        <v>87</v>
      </c>
      <c r="I67" t="s">
        <v>4357</v>
      </c>
      <c r="J67" s="9"/>
      <c r="K67" s="9"/>
      <c r="L67" s="9"/>
    </row>
    <row r="68" spans="2:12" ht="15" x14ac:dyDescent="0.25">
      <c r="B68" t="s">
        <v>80</v>
      </c>
      <c r="C68" t="s">
        <v>81</v>
      </c>
      <c r="D68" t="str">
        <f>HYPERLINK("https://rhld.insurance.arkansas.gov/NPILookup?Npi=1669471157","1669471157")</f>
        <v>1669471157</v>
      </c>
      <c r="E68" t="s">
        <v>125</v>
      </c>
      <c r="F68" t="s">
        <v>12</v>
      </c>
      <c r="G68" s="20">
        <v>1</v>
      </c>
      <c r="H68" t="s">
        <v>4338</v>
      </c>
      <c r="I68" t="s">
        <v>32</v>
      </c>
      <c r="J68" s="9"/>
      <c r="K68" s="9"/>
      <c r="L68" s="9"/>
    </row>
    <row r="69" spans="2:12" ht="15" x14ac:dyDescent="0.25">
      <c r="B69" t="s">
        <v>80</v>
      </c>
      <c r="C69" t="s">
        <v>81</v>
      </c>
      <c r="D69" t="str">
        <f>HYPERLINK("https://rhld.insurance.arkansas.gov/NPILookup?Npi=1750461620","1750461620")</f>
        <v>1750461620</v>
      </c>
      <c r="E69" t="s">
        <v>129</v>
      </c>
      <c r="F69" t="s">
        <v>13</v>
      </c>
      <c r="G69" s="20">
        <v>1</v>
      </c>
      <c r="H69" t="s">
        <v>87</v>
      </c>
      <c r="I69" t="s">
        <v>4357</v>
      </c>
      <c r="J69" s="9"/>
      <c r="K69" s="9"/>
      <c r="L69" s="9"/>
    </row>
    <row r="70" spans="2:12" ht="15" x14ac:dyDescent="0.25">
      <c r="B70" t="s">
        <v>80</v>
      </c>
      <c r="C70" t="s">
        <v>81</v>
      </c>
      <c r="D70" t="str">
        <f>HYPERLINK("https://rhld.insurance.arkansas.gov/NPILookup?Npi=1689614828","1689614828")</f>
        <v>1689614828</v>
      </c>
      <c r="E70" t="s">
        <v>127</v>
      </c>
      <c r="F70" t="s">
        <v>12</v>
      </c>
      <c r="G70" s="20">
        <v>1</v>
      </c>
      <c r="H70" t="s">
        <v>4338</v>
      </c>
      <c r="I70" t="s">
        <v>32</v>
      </c>
      <c r="J70" s="9"/>
      <c r="K70" s="9"/>
      <c r="L70" s="9"/>
    </row>
    <row r="71" spans="2:12" ht="15" x14ac:dyDescent="0.25">
      <c r="B71" t="s">
        <v>80</v>
      </c>
      <c r="C71" t="s">
        <v>81</v>
      </c>
      <c r="D71" t="str">
        <f>HYPERLINK("https://rhld.insurance.arkansas.gov/NPILookup?Npi=1891051348","1891051348")</f>
        <v>1891051348</v>
      </c>
      <c r="E71" t="s">
        <v>137</v>
      </c>
      <c r="F71" t="s">
        <v>13</v>
      </c>
      <c r="G71" s="20">
        <v>1</v>
      </c>
      <c r="H71" t="s">
        <v>87</v>
      </c>
      <c r="I71" t="s">
        <v>4357</v>
      </c>
      <c r="J71" s="9"/>
      <c r="K71" s="9"/>
      <c r="L71" s="9"/>
    </row>
    <row r="72" spans="2:12" ht="15" x14ac:dyDescent="0.25">
      <c r="B72" t="s">
        <v>80</v>
      </c>
      <c r="C72" t="s">
        <v>81</v>
      </c>
      <c r="D72" t="str">
        <f>HYPERLINK("https://rhld.insurance.arkansas.gov/NPILookup?Npi=1760491989","1760491989")</f>
        <v>1760491989</v>
      </c>
      <c r="E72" t="s">
        <v>130</v>
      </c>
      <c r="F72" t="s">
        <v>12</v>
      </c>
      <c r="G72" s="20">
        <v>1</v>
      </c>
      <c r="H72" t="s">
        <v>4338</v>
      </c>
      <c r="I72" t="s">
        <v>32</v>
      </c>
      <c r="J72" s="9"/>
      <c r="K72" s="9"/>
      <c r="L72" s="9"/>
    </row>
    <row r="73" spans="2:12" ht="15" x14ac:dyDescent="0.25">
      <c r="B73" t="s">
        <v>80</v>
      </c>
      <c r="C73" t="s">
        <v>81</v>
      </c>
      <c r="D73" t="str">
        <f>HYPERLINK("https://rhld.insurance.arkansas.gov/NPILookup?Npi=1801101431","1801101431")</f>
        <v>1801101431</v>
      </c>
      <c r="E73" t="s">
        <v>131</v>
      </c>
      <c r="F73" t="s">
        <v>12</v>
      </c>
      <c r="G73" s="20">
        <v>1</v>
      </c>
      <c r="H73" t="s">
        <v>4338</v>
      </c>
      <c r="I73" t="s">
        <v>32</v>
      </c>
      <c r="J73" s="9"/>
      <c r="K73" s="9"/>
      <c r="L73" s="9"/>
    </row>
    <row r="74" spans="2:12" ht="15" x14ac:dyDescent="0.25">
      <c r="B74" t="s">
        <v>80</v>
      </c>
      <c r="C74" t="s">
        <v>81</v>
      </c>
      <c r="D74" t="str">
        <f>HYPERLINK("https://rhld.insurance.arkansas.gov/NPILookup?Npi=1871943852","1871943852")</f>
        <v>1871943852</v>
      </c>
      <c r="E74" t="s">
        <v>134</v>
      </c>
      <c r="F74" t="s">
        <v>12</v>
      </c>
      <c r="G74" s="20">
        <v>1</v>
      </c>
      <c r="H74" t="s">
        <v>135</v>
      </c>
      <c r="I74" t="s">
        <v>4357</v>
      </c>
      <c r="J74" s="9"/>
      <c r="K74" s="9"/>
      <c r="L74" s="9"/>
    </row>
    <row r="75" spans="2:12" ht="15" x14ac:dyDescent="0.25">
      <c r="B75" t="s">
        <v>80</v>
      </c>
      <c r="C75" t="s">
        <v>81</v>
      </c>
      <c r="D75" t="str">
        <f>HYPERLINK("https://rhld.insurance.arkansas.gov/NPILookup?Npi=1972613487","1972613487")</f>
        <v>1972613487</v>
      </c>
      <c r="E75" t="s">
        <v>142</v>
      </c>
      <c r="F75" t="s">
        <v>13</v>
      </c>
      <c r="G75" s="20">
        <v>1</v>
      </c>
      <c r="H75" t="s">
        <v>87</v>
      </c>
      <c r="I75" t="s">
        <v>4357</v>
      </c>
      <c r="J75" s="9"/>
      <c r="K75" s="9"/>
      <c r="L75" s="9"/>
    </row>
    <row r="76" spans="2:12" ht="15" x14ac:dyDescent="0.25">
      <c r="B76" t="s">
        <v>80</v>
      </c>
      <c r="C76" t="s">
        <v>81</v>
      </c>
      <c r="D76" t="str">
        <f>HYPERLINK("https://rhld.insurance.arkansas.gov/NPILookup?Npi=1972009991","1972009991")</f>
        <v>1972009991</v>
      </c>
      <c r="E76" t="s">
        <v>138</v>
      </c>
      <c r="F76" t="s">
        <v>12</v>
      </c>
      <c r="G76" s="20">
        <v>1</v>
      </c>
      <c r="H76" t="s">
        <v>139</v>
      </c>
      <c r="I76" t="s">
        <v>32</v>
      </c>
      <c r="J76" s="9"/>
      <c r="K76" s="9"/>
      <c r="L76" s="9"/>
    </row>
    <row r="77" spans="2:12" ht="15" x14ac:dyDescent="0.25">
      <c r="B77" t="s">
        <v>80</v>
      </c>
      <c r="C77" t="s">
        <v>81</v>
      </c>
      <c r="D77" t="str">
        <f>HYPERLINK("https://rhld.insurance.arkansas.gov/NPILookup?Npi=1972572097","1972572097")</f>
        <v>1972572097</v>
      </c>
      <c r="E77" t="s">
        <v>140</v>
      </c>
      <c r="F77" t="s">
        <v>12</v>
      </c>
      <c r="G77" s="20">
        <v>1</v>
      </c>
      <c r="H77" t="s">
        <v>141</v>
      </c>
      <c r="I77" t="s">
        <v>32</v>
      </c>
      <c r="J77" s="9"/>
      <c r="K77" s="9"/>
      <c r="L77" s="9"/>
    </row>
    <row r="78" spans="2:12" ht="15" x14ac:dyDescent="0.25">
      <c r="B78" t="s">
        <v>80</v>
      </c>
      <c r="C78" t="s">
        <v>81</v>
      </c>
      <c r="D78" t="str">
        <f>HYPERLINK("https://rhld.insurance.arkansas.gov/NPILookup?Npi=1992733224","1992733224")</f>
        <v>1992733224</v>
      </c>
      <c r="E78" t="s">
        <v>144</v>
      </c>
      <c r="F78" t="s">
        <v>13</v>
      </c>
      <c r="G78" s="20">
        <v>1</v>
      </c>
      <c r="H78" t="s">
        <v>87</v>
      </c>
      <c r="I78" t="s">
        <v>4357</v>
      </c>
      <c r="J78" s="9"/>
      <c r="K78" s="9"/>
      <c r="L78" s="9"/>
    </row>
    <row r="79" spans="2:12" ht="15" x14ac:dyDescent="0.25">
      <c r="B79" t="s">
        <v>80</v>
      </c>
      <c r="C79" t="s">
        <v>81</v>
      </c>
      <c r="D79" t="str">
        <f>HYPERLINK("https://rhld.insurance.arkansas.gov/NPILookup?Npi=1982846101","1982846101")</f>
        <v>1982846101</v>
      </c>
      <c r="E79" t="s">
        <v>143</v>
      </c>
      <c r="F79" t="s">
        <v>12</v>
      </c>
      <c r="G79" s="20">
        <v>1</v>
      </c>
      <c r="H79" t="s">
        <v>4338</v>
      </c>
      <c r="I79" t="s">
        <v>32</v>
      </c>
      <c r="J79" s="9"/>
      <c r="K79" s="9"/>
      <c r="L79" s="9"/>
    </row>
    <row r="80" spans="2:12" ht="15" x14ac:dyDescent="0.25">
      <c r="B80" t="s">
        <v>146</v>
      </c>
      <c r="C80" t="s">
        <v>147</v>
      </c>
      <c r="D80" t="str">
        <f>HYPERLINK("https://rhld.insurance.arkansas.gov/NPILookup?Npi=1194704387","1194704387")</f>
        <v>1194704387</v>
      </c>
      <c r="E80" t="s">
        <v>154</v>
      </c>
      <c r="F80" t="s">
        <v>13</v>
      </c>
      <c r="G80" s="20">
        <v>1</v>
      </c>
      <c r="H80" t="s">
        <v>87</v>
      </c>
      <c r="I80" t="s">
        <v>32</v>
      </c>
      <c r="J80" s="9"/>
      <c r="K80" s="9"/>
      <c r="L80" s="9"/>
    </row>
    <row r="81" spans="2:12" ht="15" x14ac:dyDescent="0.25">
      <c r="B81" t="s">
        <v>80</v>
      </c>
      <c r="C81" t="s">
        <v>81</v>
      </c>
      <c r="D81" t="str">
        <f>HYPERLINK("https://rhld.insurance.arkansas.gov/NPILookup?Npi=1992735922","1992735922")</f>
        <v>1992735922</v>
      </c>
      <c r="E81" t="s">
        <v>145</v>
      </c>
      <c r="F81" t="s">
        <v>12</v>
      </c>
      <c r="G81" s="20">
        <v>1</v>
      </c>
      <c r="H81" t="s">
        <v>4338</v>
      </c>
      <c r="I81" t="s">
        <v>32</v>
      </c>
      <c r="J81" s="9"/>
      <c r="K81" s="9"/>
      <c r="L81" s="9"/>
    </row>
    <row r="82" spans="2:12" ht="15" x14ac:dyDescent="0.25">
      <c r="B82" t="s">
        <v>146</v>
      </c>
      <c r="C82" t="s">
        <v>147</v>
      </c>
      <c r="D82" t="str">
        <f>HYPERLINK("https://rhld.insurance.arkansas.gov/NPILookup?Npi=1083608889","1083608889")</f>
        <v>1083608889</v>
      </c>
      <c r="E82" t="s">
        <v>148</v>
      </c>
      <c r="F82" t="s">
        <v>12</v>
      </c>
      <c r="G82" s="20">
        <v>1</v>
      </c>
      <c r="H82" t="s">
        <v>4338</v>
      </c>
      <c r="I82" t="s">
        <v>32</v>
      </c>
      <c r="J82" s="9"/>
      <c r="K82" s="9"/>
      <c r="L82" s="9"/>
    </row>
    <row r="83" spans="2:12" ht="15" x14ac:dyDescent="0.25">
      <c r="B83" t="s">
        <v>146</v>
      </c>
      <c r="C83" t="s">
        <v>147</v>
      </c>
      <c r="D83" t="str">
        <f>HYPERLINK("https://rhld.insurance.arkansas.gov/NPILookup?Npi=1093805657","1093805657")</f>
        <v>1093805657</v>
      </c>
      <c r="E83" t="s">
        <v>149</v>
      </c>
      <c r="F83" t="s">
        <v>12</v>
      </c>
      <c r="G83" s="20">
        <v>1</v>
      </c>
      <c r="H83" t="s">
        <v>4338</v>
      </c>
      <c r="I83" t="s">
        <v>32</v>
      </c>
      <c r="J83" s="9"/>
      <c r="K83" s="9"/>
      <c r="L83" s="9"/>
    </row>
    <row r="84" spans="2:12" ht="15" x14ac:dyDescent="0.25">
      <c r="B84" t="s">
        <v>146</v>
      </c>
      <c r="C84" t="s">
        <v>147</v>
      </c>
      <c r="D84" t="str">
        <f>HYPERLINK("https://rhld.insurance.arkansas.gov/NPILookup?Npi=1104874957","1104874957")</f>
        <v>1104874957</v>
      </c>
      <c r="E84" t="s">
        <v>150</v>
      </c>
      <c r="F84" t="s">
        <v>12</v>
      </c>
      <c r="G84" s="20">
        <v>1</v>
      </c>
      <c r="H84" t="s">
        <v>4338</v>
      </c>
      <c r="I84" t="s">
        <v>4357</v>
      </c>
      <c r="J84" s="9"/>
      <c r="K84" s="9"/>
      <c r="L84" s="9"/>
    </row>
    <row r="85" spans="2:12" ht="15" x14ac:dyDescent="0.25">
      <c r="B85" t="s">
        <v>146</v>
      </c>
      <c r="C85" t="s">
        <v>147</v>
      </c>
      <c r="D85" t="str">
        <f>HYPERLINK("https://rhld.insurance.arkansas.gov/NPILookup?Npi=1104916600","1104916600")</f>
        <v>1104916600</v>
      </c>
      <c r="E85" t="s">
        <v>151</v>
      </c>
      <c r="F85" t="s">
        <v>12</v>
      </c>
      <c r="G85" s="20">
        <v>1</v>
      </c>
      <c r="H85" t="s">
        <v>4338</v>
      </c>
      <c r="I85" t="s">
        <v>32</v>
      </c>
      <c r="J85" s="9"/>
      <c r="K85" s="9"/>
      <c r="L85" s="9"/>
    </row>
    <row r="86" spans="2:12" ht="15" x14ac:dyDescent="0.25">
      <c r="B86" t="s">
        <v>146</v>
      </c>
      <c r="C86" t="s">
        <v>147</v>
      </c>
      <c r="D86" t="str">
        <f>HYPERLINK("https://rhld.insurance.arkansas.gov/NPILookup?Npi=1134219280","1134219280")</f>
        <v>1134219280</v>
      </c>
      <c r="E86" t="s">
        <v>152</v>
      </c>
      <c r="F86" t="s">
        <v>12</v>
      </c>
      <c r="G86" s="20">
        <v>1</v>
      </c>
      <c r="H86" t="s">
        <v>4338</v>
      </c>
      <c r="I86" t="s">
        <v>4357</v>
      </c>
      <c r="J86" s="9"/>
      <c r="K86" s="9"/>
      <c r="L86" s="9"/>
    </row>
    <row r="87" spans="2:12" ht="15" x14ac:dyDescent="0.25">
      <c r="B87" t="s">
        <v>146</v>
      </c>
      <c r="C87" t="s">
        <v>147</v>
      </c>
      <c r="D87" t="str">
        <f>HYPERLINK("https://rhld.insurance.arkansas.gov/NPILookup?Npi=1235779349","1235779349")</f>
        <v>1235779349</v>
      </c>
      <c r="E87" t="s">
        <v>155</v>
      </c>
      <c r="F87" t="s">
        <v>13</v>
      </c>
      <c r="G87" s="20">
        <v>1</v>
      </c>
      <c r="H87" t="s">
        <v>87</v>
      </c>
      <c r="I87" t="s">
        <v>32</v>
      </c>
      <c r="J87" s="9"/>
      <c r="K87" s="9"/>
      <c r="L87" s="9"/>
    </row>
    <row r="88" spans="2:12" ht="15" x14ac:dyDescent="0.25">
      <c r="B88" t="s">
        <v>146</v>
      </c>
      <c r="C88" t="s">
        <v>147</v>
      </c>
      <c r="D88" t="str">
        <f>HYPERLINK("https://rhld.insurance.arkansas.gov/NPILookup?Npi=1245421247","1245421247")</f>
        <v>1245421247</v>
      </c>
      <c r="E88" t="s">
        <v>156</v>
      </c>
      <c r="F88" t="s">
        <v>13</v>
      </c>
      <c r="G88" s="20">
        <v>1</v>
      </c>
      <c r="H88" t="s">
        <v>87</v>
      </c>
      <c r="I88" t="s">
        <v>32</v>
      </c>
      <c r="J88" s="9"/>
      <c r="K88" s="9"/>
      <c r="L88" s="9"/>
    </row>
    <row r="89" spans="2:12" ht="15" x14ac:dyDescent="0.25">
      <c r="B89" t="s">
        <v>146</v>
      </c>
      <c r="C89" t="s">
        <v>147</v>
      </c>
      <c r="D89" t="str">
        <f>HYPERLINK("https://rhld.insurance.arkansas.gov/NPILookup?Npi=1407053036","1407053036")</f>
        <v>1407053036</v>
      </c>
      <c r="E89" t="s">
        <v>161</v>
      </c>
      <c r="F89" t="s">
        <v>13</v>
      </c>
      <c r="G89" s="20">
        <v>1</v>
      </c>
      <c r="H89" t="s">
        <v>87</v>
      </c>
      <c r="I89" t="s">
        <v>4357</v>
      </c>
      <c r="J89" s="9"/>
      <c r="K89" s="9"/>
      <c r="L89" s="9"/>
    </row>
    <row r="90" spans="2:12" ht="15" x14ac:dyDescent="0.25">
      <c r="B90" t="s">
        <v>146</v>
      </c>
      <c r="C90" t="s">
        <v>147</v>
      </c>
      <c r="D90" t="str">
        <f>HYPERLINK("https://rhld.insurance.arkansas.gov/NPILookup?Npi=1285640003","1285640003")</f>
        <v>1285640003</v>
      </c>
      <c r="E90" t="s">
        <v>157</v>
      </c>
      <c r="F90" t="s">
        <v>12</v>
      </c>
      <c r="G90" s="20">
        <v>1</v>
      </c>
      <c r="H90" t="s">
        <v>4338</v>
      </c>
      <c r="I90" t="s">
        <v>32</v>
      </c>
      <c r="J90" s="9"/>
      <c r="K90" s="9"/>
      <c r="L90" s="9"/>
    </row>
    <row r="91" spans="2:12" ht="15" x14ac:dyDescent="0.25">
      <c r="B91" t="s">
        <v>146</v>
      </c>
      <c r="C91" t="s">
        <v>147</v>
      </c>
      <c r="D91" t="str">
        <f>HYPERLINK("https://rhld.insurance.arkansas.gov/NPILookup?Npi=1285724849","1285724849")</f>
        <v>1285724849</v>
      </c>
      <c r="E91" t="s">
        <v>158</v>
      </c>
      <c r="F91" t="s">
        <v>12</v>
      </c>
      <c r="G91" s="20">
        <v>1</v>
      </c>
      <c r="H91" t="s">
        <v>4338</v>
      </c>
      <c r="I91" t="s">
        <v>32</v>
      </c>
      <c r="J91" s="9"/>
      <c r="K91" s="9"/>
      <c r="L91" s="9"/>
    </row>
    <row r="92" spans="2:12" ht="15" x14ac:dyDescent="0.25">
      <c r="B92" t="s">
        <v>146</v>
      </c>
      <c r="C92" t="s">
        <v>147</v>
      </c>
      <c r="D92" t="str">
        <f>HYPERLINK("https://rhld.insurance.arkansas.gov/NPILookup?Npi=1295700904","1295700904")</f>
        <v>1295700904</v>
      </c>
      <c r="E92" t="s">
        <v>159</v>
      </c>
      <c r="F92" t="s">
        <v>12</v>
      </c>
      <c r="G92" s="20">
        <v>1</v>
      </c>
      <c r="H92" t="s">
        <v>4338</v>
      </c>
      <c r="I92" t="s">
        <v>32</v>
      </c>
      <c r="J92" s="9"/>
      <c r="K92" s="9"/>
      <c r="L92" s="9"/>
    </row>
    <row r="93" spans="2:12" ht="15" x14ac:dyDescent="0.25">
      <c r="B93" t="s">
        <v>146</v>
      </c>
      <c r="C93" t="s">
        <v>147</v>
      </c>
      <c r="D93" t="str">
        <f>HYPERLINK("https://rhld.insurance.arkansas.gov/NPILookup?Npi=1326022534","1326022534")</f>
        <v>1326022534</v>
      </c>
      <c r="E93" t="s">
        <v>160</v>
      </c>
      <c r="F93" t="s">
        <v>12</v>
      </c>
      <c r="G93" s="20">
        <v>1</v>
      </c>
      <c r="H93" t="s">
        <v>4338</v>
      </c>
      <c r="I93" t="s">
        <v>32</v>
      </c>
      <c r="J93" s="9"/>
      <c r="K93" s="9"/>
      <c r="L93" s="9"/>
    </row>
    <row r="94" spans="2:12" ht="15" x14ac:dyDescent="0.25">
      <c r="B94" t="s">
        <v>146</v>
      </c>
      <c r="C94" t="s">
        <v>147</v>
      </c>
      <c r="D94" t="str">
        <f>HYPERLINK("https://rhld.insurance.arkansas.gov/NPILookup?Npi=1629491246","1629491246")</f>
        <v>1629491246</v>
      </c>
      <c r="E94" t="s">
        <v>172</v>
      </c>
      <c r="F94" t="s">
        <v>13</v>
      </c>
      <c r="G94" s="20">
        <v>1</v>
      </c>
      <c r="H94" t="s">
        <v>87</v>
      </c>
      <c r="I94" t="s">
        <v>32</v>
      </c>
      <c r="J94" s="9"/>
      <c r="K94" s="9"/>
      <c r="L94" s="9"/>
    </row>
    <row r="95" spans="2:12" ht="15" x14ac:dyDescent="0.25">
      <c r="B95" t="s">
        <v>146</v>
      </c>
      <c r="C95" t="s">
        <v>147</v>
      </c>
      <c r="D95" t="str">
        <f>HYPERLINK("https://rhld.insurance.arkansas.gov/NPILookup?Npi=1417928912","1417928912")</f>
        <v>1417928912</v>
      </c>
      <c r="E95" t="s">
        <v>162</v>
      </c>
      <c r="F95" t="s">
        <v>12</v>
      </c>
      <c r="G95" s="20">
        <v>1</v>
      </c>
      <c r="H95" t="s">
        <v>4338</v>
      </c>
      <c r="I95" t="s">
        <v>32</v>
      </c>
      <c r="J95" s="9"/>
      <c r="K95" s="9"/>
      <c r="L95" s="9"/>
    </row>
    <row r="96" spans="2:12" ht="15" x14ac:dyDescent="0.25">
      <c r="B96" t="s">
        <v>146</v>
      </c>
      <c r="C96" t="s">
        <v>147</v>
      </c>
      <c r="D96" t="str">
        <f>HYPERLINK("https://rhld.insurance.arkansas.gov/NPILookup?Npi=1447216270","1447216270")</f>
        <v>1447216270</v>
      </c>
      <c r="E96" t="s">
        <v>163</v>
      </c>
      <c r="F96" t="s">
        <v>12</v>
      </c>
      <c r="G96" s="20">
        <v>1</v>
      </c>
      <c r="H96" t="s">
        <v>4338</v>
      </c>
      <c r="I96" t="s">
        <v>32</v>
      </c>
      <c r="J96" s="9"/>
      <c r="K96" s="9"/>
      <c r="L96" s="9"/>
    </row>
    <row r="97" spans="2:12" ht="15" x14ac:dyDescent="0.25">
      <c r="B97" t="s">
        <v>146</v>
      </c>
      <c r="C97" t="s">
        <v>147</v>
      </c>
      <c r="D97" t="str">
        <f>HYPERLINK("https://rhld.insurance.arkansas.gov/NPILookup?Npi=1467820928","1467820928")</f>
        <v>1467820928</v>
      </c>
      <c r="E97" t="s">
        <v>164</v>
      </c>
      <c r="F97" t="s">
        <v>12</v>
      </c>
      <c r="G97" s="20">
        <v>1</v>
      </c>
      <c r="H97" t="s">
        <v>4338</v>
      </c>
      <c r="I97" t="s">
        <v>32</v>
      </c>
      <c r="J97" s="9"/>
      <c r="K97" s="9"/>
      <c r="L97" s="9"/>
    </row>
    <row r="98" spans="2:12" ht="15" x14ac:dyDescent="0.25">
      <c r="B98" t="s">
        <v>146</v>
      </c>
      <c r="C98" t="s">
        <v>147</v>
      </c>
      <c r="D98" t="str">
        <f>HYPERLINK("https://rhld.insurance.arkansas.gov/NPILookup?Npi=1508837006","1508837006")</f>
        <v>1508837006</v>
      </c>
      <c r="E98" t="s">
        <v>115</v>
      </c>
      <c r="F98" t="s">
        <v>12</v>
      </c>
      <c r="G98" s="20">
        <v>1</v>
      </c>
      <c r="H98" t="s">
        <v>4338</v>
      </c>
      <c r="I98" t="s">
        <v>32</v>
      </c>
      <c r="J98" s="9"/>
      <c r="K98" s="9"/>
      <c r="L98" s="9"/>
    </row>
    <row r="99" spans="2:12" ht="15" x14ac:dyDescent="0.25">
      <c r="B99" t="s">
        <v>146</v>
      </c>
      <c r="C99" t="s">
        <v>147</v>
      </c>
      <c r="D99" t="str">
        <f>HYPERLINK("https://rhld.insurance.arkansas.gov/NPILookup?Npi=1528289808","1528289808")</f>
        <v>1528289808</v>
      </c>
      <c r="E99" t="s">
        <v>165</v>
      </c>
      <c r="F99" t="s">
        <v>12</v>
      </c>
      <c r="G99" s="20">
        <v>1</v>
      </c>
      <c r="H99" t="s">
        <v>4338</v>
      </c>
      <c r="I99" t="s">
        <v>4357</v>
      </c>
      <c r="J99" s="9"/>
      <c r="K99" s="9"/>
      <c r="L99" s="9"/>
    </row>
    <row r="100" spans="2:12" ht="15" x14ac:dyDescent="0.25">
      <c r="B100" t="s">
        <v>146</v>
      </c>
      <c r="C100" t="s">
        <v>147</v>
      </c>
      <c r="D100" t="str">
        <f>HYPERLINK("https://rhld.insurance.arkansas.gov/NPILookup?Npi=1558366443","1558366443")</f>
        <v>1558366443</v>
      </c>
      <c r="E100" t="s">
        <v>166</v>
      </c>
      <c r="F100" t="s">
        <v>12</v>
      </c>
      <c r="G100" s="20">
        <v>1</v>
      </c>
      <c r="H100" t="s">
        <v>4338</v>
      </c>
      <c r="I100" t="s">
        <v>32</v>
      </c>
      <c r="J100" s="9"/>
      <c r="K100" s="9"/>
      <c r="L100" s="9"/>
    </row>
    <row r="101" spans="2:12" ht="15" x14ac:dyDescent="0.25">
      <c r="B101" t="s">
        <v>146</v>
      </c>
      <c r="C101" t="s">
        <v>147</v>
      </c>
      <c r="D101" t="str">
        <f>HYPERLINK("https://rhld.insurance.arkansas.gov/NPILookup?Npi=1558576041","1558576041")</f>
        <v>1558576041</v>
      </c>
      <c r="E101" t="s">
        <v>167</v>
      </c>
      <c r="F101" t="s">
        <v>12</v>
      </c>
      <c r="G101" s="20">
        <v>1</v>
      </c>
      <c r="H101" t="s">
        <v>4338</v>
      </c>
      <c r="I101" t="s">
        <v>32</v>
      </c>
      <c r="J101" s="9"/>
      <c r="K101" s="9"/>
      <c r="L101" s="9"/>
    </row>
    <row r="102" spans="2:12" ht="15" x14ac:dyDescent="0.25">
      <c r="B102" t="s">
        <v>146</v>
      </c>
      <c r="C102" t="s">
        <v>147</v>
      </c>
      <c r="D102" t="str">
        <f>HYPERLINK("https://rhld.insurance.arkansas.gov/NPILookup?Npi=1578529970","1578529970")</f>
        <v>1578529970</v>
      </c>
      <c r="E102" t="s">
        <v>168</v>
      </c>
      <c r="F102" t="s">
        <v>12</v>
      </c>
      <c r="G102" s="20">
        <v>1</v>
      </c>
      <c r="H102" t="s">
        <v>4338</v>
      </c>
      <c r="I102" t="s">
        <v>32</v>
      </c>
      <c r="J102" s="9"/>
      <c r="K102" s="9"/>
      <c r="L102" s="9"/>
    </row>
    <row r="103" spans="2:12" ht="15" x14ac:dyDescent="0.25">
      <c r="B103" t="s">
        <v>146</v>
      </c>
      <c r="C103" t="s">
        <v>147</v>
      </c>
      <c r="D103" t="str">
        <f>HYPERLINK("https://rhld.insurance.arkansas.gov/NPILookup?Npi=1578653077","1578653077")</f>
        <v>1578653077</v>
      </c>
      <c r="E103" t="s">
        <v>169</v>
      </c>
      <c r="F103" t="s">
        <v>12</v>
      </c>
      <c r="G103" s="20">
        <v>1</v>
      </c>
      <c r="H103" t="s">
        <v>4338</v>
      </c>
      <c r="I103" t="s">
        <v>32</v>
      </c>
      <c r="J103" s="9"/>
      <c r="K103" s="9"/>
      <c r="L103" s="9"/>
    </row>
    <row r="104" spans="2:12" ht="15" x14ac:dyDescent="0.25">
      <c r="B104" t="s">
        <v>146</v>
      </c>
      <c r="C104" t="s">
        <v>147</v>
      </c>
      <c r="D104" t="str">
        <f>HYPERLINK("https://rhld.insurance.arkansas.gov/NPILookup?Npi=1588005078","1588005078")</f>
        <v>1588005078</v>
      </c>
      <c r="E104" t="s">
        <v>170</v>
      </c>
      <c r="F104" t="s">
        <v>12</v>
      </c>
      <c r="G104" s="20">
        <v>1</v>
      </c>
      <c r="H104" t="s">
        <v>4338</v>
      </c>
      <c r="I104" t="s">
        <v>32</v>
      </c>
      <c r="J104" s="9"/>
      <c r="K104" s="9"/>
      <c r="L104" s="9"/>
    </row>
    <row r="105" spans="2:12" ht="15" x14ac:dyDescent="0.25">
      <c r="B105" t="s">
        <v>146</v>
      </c>
      <c r="C105" t="s">
        <v>147</v>
      </c>
      <c r="D105" t="str">
        <f>HYPERLINK("https://rhld.insurance.arkansas.gov/NPILookup?Npi=1609072842","1609072842")</f>
        <v>1609072842</v>
      </c>
      <c r="E105" t="s">
        <v>171</v>
      </c>
      <c r="F105" t="s">
        <v>12</v>
      </c>
      <c r="G105" s="20">
        <v>1</v>
      </c>
      <c r="H105" t="s">
        <v>4338</v>
      </c>
      <c r="I105" t="s">
        <v>4357</v>
      </c>
      <c r="J105" s="9"/>
      <c r="K105" s="9"/>
      <c r="L105" s="9"/>
    </row>
    <row r="106" spans="2:12" ht="15" x14ac:dyDescent="0.25">
      <c r="B106" t="s">
        <v>146</v>
      </c>
      <c r="C106" t="s">
        <v>147</v>
      </c>
      <c r="D106" t="str">
        <f>HYPERLINK("https://rhld.insurance.arkansas.gov/NPILookup?Npi=1992733224","1992733224")</f>
        <v>1992733224</v>
      </c>
      <c r="E106" t="s">
        <v>144</v>
      </c>
      <c r="F106" t="s">
        <v>13</v>
      </c>
      <c r="G106" s="20">
        <v>1</v>
      </c>
      <c r="H106" t="s">
        <v>4357</v>
      </c>
      <c r="I106" t="s">
        <v>4357</v>
      </c>
      <c r="J106" s="9"/>
      <c r="K106" s="9"/>
      <c r="L106" s="9"/>
    </row>
    <row r="107" spans="2:12" ht="15" x14ac:dyDescent="0.25">
      <c r="B107" t="s">
        <v>146</v>
      </c>
      <c r="C107" t="s">
        <v>147</v>
      </c>
      <c r="D107" t="str">
        <f>HYPERLINK("https://rhld.insurance.arkansas.gov/NPILookup?Npi=1649583923","1649583923")</f>
        <v>1649583923</v>
      </c>
      <c r="E107" t="s">
        <v>173</v>
      </c>
      <c r="F107" t="s">
        <v>12</v>
      </c>
      <c r="G107" s="20">
        <v>1</v>
      </c>
      <c r="H107" t="s">
        <v>4338</v>
      </c>
      <c r="I107" t="s">
        <v>32</v>
      </c>
      <c r="J107" s="9"/>
      <c r="K107" s="9"/>
      <c r="L107" s="9"/>
    </row>
    <row r="108" spans="2:12" ht="15" x14ac:dyDescent="0.25">
      <c r="B108" t="s">
        <v>146</v>
      </c>
      <c r="C108" t="s">
        <v>147</v>
      </c>
      <c r="D108" t="str">
        <f>HYPERLINK("https://rhld.insurance.arkansas.gov/NPILookup?Npi=1689026726","1689026726")</f>
        <v>1689026726</v>
      </c>
      <c r="E108" t="s">
        <v>174</v>
      </c>
      <c r="F108" t="s">
        <v>12</v>
      </c>
      <c r="G108" s="20">
        <v>1</v>
      </c>
      <c r="H108" t="s">
        <v>139</v>
      </c>
      <c r="I108" t="s">
        <v>32</v>
      </c>
      <c r="J108" s="9"/>
      <c r="K108" s="9"/>
      <c r="L108" s="9"/>
    </row>
    <row r="109" spans="2:12" ht="15" x14ac:dyDescent="0.25">
      <c r="B109" t="s">
        <v>146</v>
      </c>
      <c r="C109" t="s">
        <v>147</v>
      </c>
      <c r="D109" t="str">
        <f>HYPERLINK("https://rhld.insurance.arkansas.gov/NPILookup?Npi=1851459697","1851459697")</f>
        <v>1851459697</v>
      </c>
      <c r="E109" t="s">
        <v>176</v>
      </c>
      <c r="F109" t="s">
        <v>12</v>
      </c>
      <c r="G109" s="20">
        <v>1</v>
      </c>
      <c r="H109" t="s">
        <v>4338</v>
      </c>
      <c r="I109" t="s">
        <v>32</v>
      </c>
      <c r="J109" s="9"/>
      <c r="K109" s="9"/>
      <c r="L109" s="9"/>
    </row>
    <row r="110" spans="2:12" ht="15" x14ac:dyDescent="0.25">
      <c r="B110" t="s">
        <v>146</v>
      </c>
      <c r="C110" t="s">
        <v>147</v>
      </c>
      <c r="D110" t="str">
        <f>HYPERLINK("https://rhld.insurance.arkansas.gov/NPILookup?Npi=1871504126","1871504126")</f>
        <v>1871504126</v>
      </c>
      <c r="E110" t="s">
        <v>178</v>
      </c>
      <c r="F110" t="s">
        <v>12</v>
      </c>
      <c r="G110" s="20">
        <v>1</v>
      </c>
      <c r="H110" t="s">
        <v>4338</v>
      </c>
      <c r="I110" t="s">
        <v>32</v>
      </c>
      <c r="J110" s="9"/>
      <c r="K110" s="9"/>
      <c r="L110" s="9"/>
    </row>
    <row r="111" spans="2:12" ht="15" x14ac:dyDescent="0.25">
      <c r="B111" t="s">
        <v>146</v>
      </c>
      <c r="C111" t="s">
        <v>147</v>
      </c>
      <c r="D111" t="str">
        <f>HYPERLINK("https://rhld.insurance.arkansas.gov/NPILookup?Npi=1932589850","1932589850")</f>
        <v>1932589850</v>
      </c>
      <c r="E111" t="s">
        <v>180</v>
      </c>
      <c r="F111" t="s">
        <v>12</v>
      </c>
      <c r="G111" s="20">
        <v>1</v>
      </c>
      <c r="H111" t="s">
        <v>4338</v>
      </c>
      <c r="I111" t="s">
        <v>32</v>
      </c>
      <c r="J111" s="9"/>
      <c r="K111" s="9"/>
      <c r="L111" s="9"/>
    </row>
    <row r="112" spans="2:12" ht="15" x14ac:dyDescent="0.25">
      <c r="B112" t="s">
        <v>146</v>
      </c>
      <c r="C112" t="s">
        <v>147</v>
      </c>
      <c r="D112" t="str">
        <f>HYPERLINK("https://rhld.insurance.arkansas.gov/NPILookup?Npi=1942390513","1942390513")</f>
        <v>1942390513</v>
      </c>
      <c r="E112" t="s">
        <v>181</v>
      </c>
      <c r="F112" t="s">
        <v>12</v>
      </c>
      <c r="G112" s="20">
        <v>1</v>
      </c>
      <c r="H112" t="s">
        <v>4338</v>
      </c>
      <c r="I112" t="s">
        <v>32</v>
      </c>
      <c r="J112" s="9"/>
      <c r="K112" s="9"/>
      <c r="L112" s="9"/>
    </row>
    <row r="113" spans="2:12" ht="15" x14ac:dyDescent="0.25">
      <c r="B113" t="s">
        <v>184</v>
      </c>
      <c r="C113" t="s">
        <v>185</v>
      </c>
      <c r="D113" t="str">
        <f>HYPERLINK("https://rhld.insurance.arkansas.gov/NPILookup?Npi=1043819303","1043819303")</f>
        <v>1043819303</v>
      </c>
      <c r="E113" t="s">
        <v>186</v>
      </c>
      <c r="F113" t="s">
        <v>13</v>
      </c>
      <c r="G113" s="20">
        <v>1</v>
      </c>
      <c r="H113" t="s">
        <v>4357</v>
      </c>
      <c r="I113" t="s">
        <v>4357</v>
      </c>
      <c r="J113" s="9"/>
      <c r="K113" s="9"/>
      <c r="L113" s="9"/>
    </row>
    <row r="114" spans="2:12" ht="15" x14ac:dyDescent="0.25">
      <c r="B114" t="s">
        <v>146</v>
      </c>
      <c r="C114" t="s">
        <v>147</v>
      </c>
      <c r="D114" t="str">
        <f>HYPERLINK("https://rhld.insurance.arkansas.gov/NPILookup?Npi=1992857106","1992857106")</f>
        <v>1992857106</v>
      </c>
      <c r="E114" t="s">
        <v>183</v>
      </c>
      <c r="F114" t="s">
        <v>12</v>
      </c>
      <c r="G114" s="20">
        <v>1</v>
      </c>
      <c r="H114" t="s">
        <v>4338</v>
      </c>
      <c r="I114" t="s">
        <v>4357</v>
      </c>
      <c r="J114" s="9"/>
      <c r="K114" s="9"/>
      <c r="L114" s="9"/>
    </row>
    <row r="115" spans="2:12" ht="15" x14ac:dyDescent="0.25">
      <c r="B115" t="s">
        <v>184</v>
      </c>
      <c r="C115" t="s">
        <v>185</v>
      </c>
      <c r="D115" t="str">
        <f>HYPERLINK("https://rhld.insurance.arkansas.gov/NPILookup?Npi=1053107185","1053107185")</f>
        <v>1053107185</v>
      </c>
      <c r="E115" t="s">
        <v>187</v>
      </c>
      <c r="F115" t="s">
        <v>13</v>
      </c>
      <c r="G115" s="20">
        <v>1</v>
      </c>
      <c r="H115" t="s">
        <v>4357</v>
      </c>
      <c r="I115" t="s">
        <v>4357</v>
      </c>
      <c r="J115" s="9"/>
      <c r="K115" s="9"/>
      <c r="L115" s="9"/>
    </row>
    <row r="116" spans="2:12" ht="15" x14ac:dyDescent="0.25">
      <c r="B116" t="s">
        <v>184</v>
      </c>
      <c r="C116" t="s">
        <v>185</v>
      </c>
      <c r="D116" t="str">
        <f>HYPERLINK("https://rhld.insurance.arkansas.gov/NPILookup?Npi=1093510760","1093510760")</f>
        <v>1093510760</v>
      </c>
      <c r="E116" t="s">
        <v>188</v>
      </c>
      <c r="F116" t="s">
        <v>13</v>
      </c>
      <c r="G116" s="20">
        <v>1</v>
      </c>
      <c r="H116" t="s">
        <v>4357</v>
      </c>
      <c r="I116" t="s">
        <v>4357</v>
      </c>
      <c r="J116" s="9"/>
      <c r="K116" s="23"/>
      <c r="L116" s="9"/>
    </row>
    <row r="117" spans="2:12" ht="15" x14ac:dyDescent="0.25">
      <c r="B117" t="s">
        <v>184</v>
      </c>
      <c r="C117" t="s">
        <v>185</v>
      </c>
      <c r="D117" t="str">
        <f>HYPERLINK("https://rhld.insurance.arkansas.gov/NPILookup?Npi=1144950502","1144950502")</f>
        <v>1144950502</v>
      </c>
      <c r="E117" t="s">
        <v>189</v>
      </c>
      <c r="F117" t="s">
        <v>13</v>
      </c>
      <c r="G117" s="20">
        <v>1</v>
      </c>
      <c r="H117" t="s">
        <v>4357</v>
      </c>
      <c r="I117" t="s">
        <v>4357</v>
      </c>
      <c r="J117" s="9"/>
      <c r="K117" s="9"/>
      <c r="L117" s="9"/>
    </row>
    <row r="118" spans="2:12" ht="15" x14ac:dyDescent="0.25">
      <c r="B118" t="s">
        <v>184</v>
      </c>
      <c r="C118" t="s">
        <v>185</v>
      </c>
      <c r="D118" t="str">
        <f>HYPERLINK("https://rhld.insurance.arkansas.gov/NPILookup?Npi=1215765854","1215765854")</f>
        <v>1215765854</v>
      </c>
      <c r="E118" t="s">
        <v>190</v>
      </c>
      <c r="F118" t="s">
        <v>13</v>
      </c>
      <c r="G118" s="20">
        <v>1</v>
      </c>
      <c r="H118" t="s">
        <v>4357</v>
      </c>
      <c r="I118" t="s">
        <v>4357</v>
      </c>
      <c r="J118" s="9"/>
      <c r="K118" s="9"/>
      <c r="L118" s="9"/>
    </row>
    <row r="119" spans="2:12" ht="15" x14ac:dyDescent="0.25">
      <c r="B119" t="s">
        <v>184</v>
      </c>
      <c r="C119" t="s">
        <v>185</v>
      </c>
      <c r="D119" t="str">
        <f>HYPERLINK("https://rhld.insurance.arkansas.gov/NPILookup?Npi=1306657127","1306657127")</f>
        <v>1306657127</v>
      </c>
      <c r="E119" t="s">
        <v>192</v>
      </c>
      <c r="F119" t="s">
        <v>13</v>
      </c>
      <c r="G119" s="20">
        <v>1</v>
      </c>
      <c r="H119" t="s">
        <v>4357</v>
      </c>
      <c r="I119" t="s">
        <v>4357</v>
      </c>
      <c r="J119" s="9"/>
      <c r="K119" s="9"/>
      <c r="L119" s="9"/>
    </row>
    <row r="120" spans="2:12" ht="15" x14ac:dyDescent="0.25">
      <c r="B120" t="s">
        <v>184</v>
      </c>
      <c r="C120" s="21" t="s">
        <v>185</v>
      </c>
      <c r="D120" s="21" t="str">
        <f>HYPERLINK("https://rhld.insurance.arkansas.gov/NPILookup?Npi=1245203298","1245203298")</f>
        <v>1245203298</v>
      </c>
      <c r="E120" s="21" t="s">
        <v>191</v>
      </c>
      <c r="F120" s="21" t="s">
        <v>12</v>
      </c>
      <c r="G120" s="22">
        <v>1</v>
      </c>
      <c r="H120" s="21" t="s">
        <v>141</v>
      </c>
      <c r="I120" s="21" t="s">
        <v>32</v>
      </c>
      <c r="J120" s="9"/>
      <c r="K120" s="9"/>
      <c r="L120" s="9"/>
    </row>
    <row r="121" spans="2:12" ht="15" x14ac:dyDescent="0.25">
      <c r="B121" t="s">
        <v>184</v>
      </c>
      <c r="C121" t="s">
        <v>185</v>
      </c>
      <c r="D121" t="str">
        <f>HYPERLINK("https://rhld.insurance.arkansas.gov/NPILookup?Npi=1376375915","1376375915")</f>
        <v>1376375915</v>
      </c>
      <c r="E121" t="s">
        <v>193</v>
      </c>
      <c r="F121" t="s">
        <v>13</v>
      </c>
      <c r="G121" s="20">
        <v>1</v>
      </c>
      <c r="H121" t="s">
        <v>4357</v>
      </c>
      <c r="I121" t="s">
        <v>4357</v>
      </c>
      <c r="J121" s="9"/>
      <c r="K121" s="9"/>
      <c r="L121" s="9"/>
    </row>
    <row r="122" spans="2:12" ht="15" x14ac:dyDescent="0.25">
      <c r="B122" t="s">
        <v>184</v>
      </c>
      <c r="C122" t="s">
        <v>185</v>
      </c>
      <c r="D122" t="str">
        <f>HYPERLINK("https://rhld.insurance.arkansas.gov/NPILookup?Npi=1386311199","1386311199")</f>
        <v>1386311199</v>
      </c>
      <c r="E122" t="s">
        <v>194</v>
      </c>
      <c r="F122" t="s">
        <v>13</v>
      </c>
      <c r="G122" s="20">
        <v>1</v>
      </c>
      <c r="H122" t="s">
        <v>4357</v>
      </c>
      <c r="I122" t="s">
        <v>4357</v>
      </c>
      <c r="J122" s="9"/>
      <c r="K122" s="9"/>
      <c r="L122" s="9"/>
    </row>
    <row r="123" spans="2:12" ht="15" x14ac:dyDescent="0.25">
      <c r="B123" t="s">
        <v>184</v>
      </c>
      <c r="C123" t="s">
        <v>185</v>
      </c>
      <c r="D123" t="str">
        <f>HYPERLINK("https://rhld.insurance.arkansas.gov/NPILookup?Npi=1396566675","1396566675")</f>
        <v>1396566675</v>
      </c>
      <c r="E123" t="s">
        <v>195</v>
      </c>
      <c r="F123" t="s">
        <v>13</v>
      </c>
      <c r="G123" s="20">
        <v>1</v>
      </c>
      <c r="H123" t="s">
        <v>4357</v>
      </c>
      <c r="I123" t="s">
        <v>4357</v>
      </c>
      <c r="J123" s="9"/>
      <c r="K123" s="9"/>
      <c r="L123" s="9"/>
    </row>
    <row r="124" spans="2:12" ht="15" x14ac:dyDescent="0.25">
      <c r="B124" t="s">
        <v>184</v>
      </c>
      <c r="C124" t="s">
        <v>185</v>
      </c>
      <c r="D124" t="str">
        <f>HYPERLINK("https://rhld.insurance.arkansas.gov/NPILookup?Npi=1417785296","1417785296")</f>
        <v>1417785296</v>
      </c>
      <c r="E124" t="s">
        <v>196</v>
      </c>
      <c r="F124" t="s">
        <v>13</v>
      </c>
      <c r="G124" s="20">
        <v>1</v>
      </c>
      <c r="H124" t="s">
        <v>4357</v>
      </c>
      <c r="I124" t="s">
        <v>4357</v>
      </c>
      <c r="J124" s="9"/>
      <c r="K124" s="9"/>
      <c r="L124" s="9"/>
    </row>
    <row r="125" spans="2:12" ht="15" x14ac:dyDescent="0.25">
      <c r="B125" t="s">
        <v>184</v>
      </c>
      <c r="C125" t="s">
        <v>185</v>
      </c>
      <c r="D125" t="str">
        <f>HYPERLINK("https://rhld.insurance.arkansas.gov/NPILookup?Npi=1457832743","1457832743")</f>
        <v>1457832743</v>
      </c>
      <c r="E125" t="s">
        <v>197</v>
      </c>
      <c r="F125" t="s">
        <v>13</v>
      </c>
      <c r="G125" s="20">
        <v>1</v>
      </c>
      <c r="H125" t="s">
        <v>4357</v>
      </c>
      <c r="I125" t="s">
        <v>4357</v>
      </c>
      <c r="J125" s="9"/>
      <c r="K125" s="9"/>
      <c r="L125" s="9"/>
    </row>
    <row r="126" spans="2:12" ht="15" x14ac:dyDescent="0.25">
      <c r="B126" t="s">
        <v>184</v>
      </c>
      <c r="C126" t="s">
        <v>185</v>
      </c>
      <c r="D126" t="str">
        <f>HYPERLINK("https://rhld.insurance.arkansas.gov/NPILookup?Npi=1487466959","1487466959")</f>
        <v>1487466959</v>
      </c>
      <c r="E126" t="s">
        <v>198</v>
      </c>
      <c r="F126" t="s">
        <v>13</v>
      </c>
      <c r="G126" s="20">
        <v>1</v>
      </c>
      <c r="H126" t="s">
        <v>4357</v>
      </c>
      <c r="I126" t="s">
        <v>4357</v>
      </c>
      <c r="J126" s="9"/>
      <c r="K126" s="9"/>
      <c r="L126" s="9"/>
    </row>
    <row r="127" spans="2:12" ht="15" x14ac:dyDescent="0.25">
      <c r="B127" t="s">
        <v>184</v>
      </c>
      <c r="C127" t="s">
        <v>185</v>
      </c>
      <c r="D127" t="str">
        <f>HYPERLINK("https://rhld.insurance.arkansas.gov/NPILookup?Npi=1649002213","1649002213")</f>
        <v>1649002213</v>
      </c>
      <c r="E127" t="s">
        <v>199</v>
      </c>
      <c r="F127" t="s">
        <v>13</v>
      </c>
      <c r="G127" s="20">
        <v>1</v>
      </c>
      <c r="H127" t="s">
        <v>4357</v>
      </c>
      <c r="I127" t="s">
        <v>4357</v>
      </c>
      <c r="J127" s="9"/>
      <c r="K127" s="23"/>
      <c r="L127" s="9"/>
    </row>
    <row r="128" spans="2:12" ht="15" x14ac:dyDescent="0.25">
      <c r="B128" t="s">
        <v>184</v>
      </c>
      <c r="C128" t="s">
        <v>185</v>
      </c>
      <c r="D128" t="str">
        <f>HYPERLINK("https://rhld.insurance.arkansas.gov/NPILookup?Npi=1669283354","1669283354")</f>
        <v>1669283354</v>
      </c>
      <c r="E128" t="s">
        <v>201</v>
      </c>
      <c r="F128" t="s">
        <v>13</v>
      </c>
      <c r="G128" s="20">
        <v>1</v>
      </c>
      <c r="H128" t="s">
        <v>4357</v>
      </c>
      <c r="I128" t="s">
        <v>4357</v>
      </c>
      <c r="J128" s="9"/>
      <c r="K128" s="9"/>
      <c r="L128" s="9"/>
    </row>
    <row r="129" spans="2:12" ht="15" x14ac:dyDescent="0.25">
      <c r="B129" t="s">
        <v>184</v>
      </c>
      <c r="C129" t="s">
        <v>185</v>
      </c>
      <c r="D129" t="str">
        <f>HYPERLINK("https://rhld.insurance.arkansas.gov/NPILookup?Npi=1720486699","1720486699")</f>
        <v>1720486699</v>
      </c>
      <c r="E129" t="s">
        <v>202</v>
      </c>
      <c r="F129" t="s">
        <v>13</v>
      </c>
      <c r="G129" s="20">
        <v>1</v>
      </c>
      <c r="H129" t="s">
        <v>4357</v>
      </c>
      <c r="I129" t="s">
        <v>4357</v>
      </c>
      <c r="J129" s="9"/>
      <c r="K129" s="9"/>
      <c r="L129" s="9"/>
    </row>
    <row r="130" spans="2:12" ht="15" x14ac:dyDescent="0.25">
      <c r="B130" t="s">
        <v>184</v>
      </c>
      <c r="C130" t="s">
        <v>185</v>
      </c>
      <c r="D130" t="str">
        <f>HYPERLINK("https://rhld.insurance.arkansas.gov/NPILookup?Npi=1881423721","1881423721")</f>
        <v>1881423721</v>
      </c>
      <c r="E130" t="s">
        <v>204</v>
      </c>
      <c r="F130" t="s">
        <v>13</v>
      </c>
      <c r="G130" s="20">
        <v>1</v>
      </c>
      <c r="H130" t="s">
        <v>4357</v>
      </c>
      <c r="I130" t="s">
        <v>4357</v>
      </c>
      <c r="J130" s="9"/>
      <c r="K130" s="9"/>
      <c r="L130" s="9"/>
    </row>
    <row r="131" spans="2:12" ht="15" x14ac:dyDescent="0.25">
      <c r="B131" t="s">
        <v>184</v>
      </c>
      <c r="C131" s="21" t="s">
        <v>185</v>
      </c>
      <c r="D131" s="21" t="str">
        <f>HYPERLINK("https://rhld.insurance.arkansas.gov/NPILookup?Npi=1811009285","1811009285")</f>
        <v>1811009285</v>
      </c>
      <c r="E131" s="21" t="s">
        <v>203</v>
      </c>
      <c r="F131" s="21" t="s">
        <v>12</v>
      </c>
      <c r="G131" s="22">
        <v>1</v>
      </c>
      <c r="H131" s="21" t="s">
        <v>141</v>
      </c>
      <c r="I131" s="21" t="s">
        <v>32</v>
      </c>
      <c r="J131" s="9"/>
      <c r="K131" s="9"/>
      <c r="L131" s="9"/>
    </row>
    <row r="132" spans="2:12" ht="15" x14ac:dyDescent="0.25">
      <c r="B132" t="s">
        <v>184</v>
      </c>
      <c r="C132" t="s">
        <v>185</v>
      </c>
      <c r="D132" t="str">
        <f>HYPERLINK("https://rhld.insurance.arkansas.gov/NPILookup?Npi=1942896998","1942896998")</f>
        <v>1942896998</v>
      </c>
      <c r="E132" t="s">
        <v>205</v>
      </c>
      <c r="F132" t="s">
        <v>13</v>
      </c>
      <c r="G132" s="20">
        <v>1</v>
      </c>
      <c r="H132" t="s">
        <v>4357</v>
      </c>
      <c r="I132" t="s">
        <v>4357</v>
      </c>
      <c r="J132" s="9"/>
      <c r="K132" s="9"/>
      <c r="L132" s="9"/>
    </row>
    <row r="133" spans="2:12" ht="15" x14ac:dyDescent="0.25">
      <c r="B133" t="s">
        <v>206</v>
      </c>
      <c r="C133" t="s">
        <v>207</v>
      </c>
      <c r="D133" t="str">
        <f>HYPERLINK("https://rhld.insurance.arkansas.gov/NPILookup?Npi=1053000885","1053000885")</f>
        <v>1053000885</v>
      </c>
      <c r="E133" t="s">
        <v>212</v>
      </c>
      <c r="F133" t="s">
        <v>13</v>
      </c>
      <c r="G133" s="20">
        <v>1</v>
      </c>
      <c r="H133" t="s">
        <v>213</v>
      </c>
      <c r="I133" t="s">
        <v>4357</v>
      </c>
      <c r="J133" s="9"/>
      <c r="K133" s="9"/>
      <c r="L133" s="9"/>
    </row>
    <row r="134" spans="2:12" ht="15" x14ac:dyDescent="0.25">
      <c r="B134" t="s">
        <v>206</v>
      </c>
      <c r="C134" t="s">
        <v>207</v>
      </c>
      <c r="D134" t="str">
        <f>HYPERLINK("https://rhld.insurance.arkansas.gov/NPILookup?Npi=1033121512","1033121512")</f>
        <v>1033121512</v>
      </c>
      <c r="E134" t="s">
        <v>208</v>
      </c>
      <c r="F134" t="s">
        <v>12</v>
      </c>
      <c r="G134" s="20">
        <v>1</v>
      </c>
      <c r="H134" t="s">
        <v>209</v>
      </c>
      <c r="I134" t="s">
        <v>32</v>
      </c>
      <c r="J134" s="9"/>
      <c r="K134" s="9"/>
      <c r="L134" s="9"/>
    </row>
    <row r="135" spans="2:12" ht="15" x14ac:dyDescent="0.25">
      <c r="B135" t="s">
        <v>206</v>
      </c>
      <c r="C135" t="s">
        <v>207</v>
      </c>
      <c r="D135" t="str">
        <f>HYPERLINK("https://rhld.insurance.arkansas.gov/NPILookup?Npi=1043320831","1043320831")</f>
        <v>1043320831</v>
      </c>
      <c r="E135" t="s">
        <v>210</v>
      </c>
      <c r="F135" t="s">
        <v>12</v>
      </c>
      <c r="G135" s="20">
        <v>1</v>
      </c>
      <c r="H135" t="s">
        <v>211</v>
      </c>
      <c r="I135" t="s">
        <v>4357</v>
      </c>
      <c r="J135" s="9"/>
      <c r="K135" s="9"/>
      <c r="L135" s="9"/>
    </row>
    <row r="136" spans="2:12" ht="15" x14ac:dyDescent="0.25">
      <c r="B136" t="s">
        <v>206</v>
      </c>
      <c r="C136" t="s">
        <v>207</v>
      </c>
      <c r="D136" t="str">
        <f>HYPERLINK("https://rhld.insurance.arkansas.gov/NPILookup?Npi=1063190734","1063190734")</f>
        <v>1063190734</v>
      </c>
      <c r="E136" t="s">
        <v>214</v>
      </c>
      <c r="F136" t="s">
        <v>13</v>
      </c>
      <c r="G136" s="20">
        <v>1</v>
      </c>
      <c r="H136" t="s">
        <v>213</v>
      </c>
      <c r="I136" t="s">
        <v>4357</v>
      </c>
      <c r="J136" s="9"/>
      <c r="K136" s="9"/>
      <c r="L136" s="9"/>
    </row>
    <row r="137" spans="2:12" ht="15" x14ac:dyDescent="0.25">
      <c r="B137" t="s">
        <v>206</v>
      </c>
      <c r="C137" t="s">
        <v>207</v>
      </c>
      <c r="D137" t="str">
        <f>HYPERLINK("https://rhld.insurance.arkansas.gov/NPILookup?Npi=1083771638","1083771638")</f>
        <v>1083771638</v>
      </c>
      <c r="E137" t="s">
        <v>215</v>
      </c>
      <c r="F137" t="s">
        <v>13</v>
      </c>
      <c r="G137" s="20">
        <v>1</v>
      </c>
      <c r="H137" t="s">
        <v>213</v>
      </c>
      <c r="I137" t="s">
        <v>4357</v>
      </c>
      <c r="J137" s="9"/>
      <c r="K137" s="9"/>
      <c r="L137" s="9"/>
    </row>
    <row r="138" spans="2:12" ht="15" x14ac:dyDescent="0.25">
      <c r="B138" t="s">
        <v>206</v>
      </c>
      <c r="C138" t="s">
        <v>207</v>
      </c>
      <c r="D138" t="str">
        <f>HYPERLINK("https://rhld.insurance.arkansas.gov/NPILookup?Npi=1104712579","1104712579")</f>
        <v>1104712579</v>
      </c>
      <c r="E138" t="s">
        <v>216</v>
      </c>
      <c r="F138" t="s">
        <v>13</v>
      </c>
      <c r="G138" s="20">
        <v>1</v>
      </c>
      <c r="H138" t="s">
        <v>213</v>
      </c>
      <c r="I138" t="s">
        <v>4357</v>
      </c>
      <c r="J138" s="9"/>
      <c r="K138" s="9"/>
      <c r="L138" s="9"/>
    </row>
    <row r="139" spans="2:12" ht="15" x14ac:dyDescent="0.25">
      <c r="B139" t="s">
        <v>206</v>
      </c>
      <c r="C139" t="s">
        <v>207</v>
      </c>
      <c r="D139" t="str">
        <f>HYPERLINK("https://rhld.insurance.arkansas.gov/NPILookup?Npi=1114447216","1114447216")</f>
        <v>1114447216</v>
      </c>
      <c r="E139" t="s">
        <v>217</v>
      </c>
      <c r="F139" t="s">
        <v>13</v>
      </c>
      <c r="G139" s="20">
        <v>1</v>
      </c>
      <c r="H139" t="s">
        <v>213</v>
      </c>
      <c r="I139" t="s">
        <v>4357</v>
      </c>
      <c r="J139" s="9"/>
      <c r="K139" s="9"/>
      <c r="L139" s="9"/>
    </row>
    <row r="140" spans="2:12" ht="15" x14ac:dyDescent="0.25">
      <c r="B140" t="s">
        <v>206</v>
      </c>
      <c r="C140" t="s">
        <v>207</v>
      </c>
      <c r="D140" t="str">
        <f>HYPERLINK("https://rhld.insurance.arkansas.gov/NPILookup?Npi=1124717327","1124717327")</f>
        <v>1124717327</v>
      </c>
      <c r="E140" t="s">
        <v>218</v>
      </c>
      <c r="F140" t="s">
        <v>13</v>
      </c>
      <c r="G140" s="20">
        <v>2</v>
      </c>
      <c r="H140" t="s">
        <v>219</v>
      </c>
      <c r="I140" t="s">
        <v>4357</v>
      </c>
      <c r="J140" s="9"/>
      <c r="K140" s="9"/>
      <c r="L140" s="9"/>
    </row>
    <row r="141" spans="2:12" ht="15" x14ac:dyDescent="0.25">
      <c r="B141" t="s">
        <v>206</v>
      </c>
      <c r="C141" t="s">
        <v>207</v>
      </c>
      <c r="D141" t="str">
        <f>HYPERLINK("https://rhld.insurance.arkansas.gov/NPILookup?Npi=1154214294","1154214294")</f>
        <v>1154214294</v>
      </c>
      <c r="E141" t="s">
        <v>221</v>
      </c>
      <c r="F141" t="s">
        <v>13</v>
      </c>
      <c r="G141" s="20">
        <v>1</v>
      </c>
      <c r="H141" t="s">
        <v>213</v>
      </c>
      <c r="I141" t="s">
        <v>4357</v>
      </c>
      <c r="J141" s="9"/>
      <c r="K141" s="9"/>
      <c r="L141" s="9"/>
    </row>
    <row r="142" spans="2:12" ht="15" x14ac:dyDescent="0.25">
      <c r="B142" t="s">
        <v>206</v>
      </c>
      <c r="C142" t="s">
        <v>207</v>
      </c>
      <c r="D142" t="str">
        <f>HYPERLINK("https://rhld.insurance.arkansas.gov/NPILookup?Npi=1144853946","1144853946")</f>
        <v>1144853946</v>
      </c>
      <c r="E142" t="s">
        <v>220</v>
      </c>
      <c r="F142" t="s">
        <v>12</v>
      </c>
      <c r="G142" s="20">
        <v>1</v>
      </c>
      <c r="H142" t="s">
        <v>211</v>
      </c>
      <c r="I142" t="s">
        <v>4357</v>
      </c>
      <c r="J142" s="9"/>
      <c r="K142" s="9"/>
      <c r="L142" s="9"/>
    </row>
    <row r="143" spans="2:12" ht="15" x14ac:dyDescent="0.25">
      <c r="B143" t="s">
        <v>206</v>
      </c>
      <c r="C143" t="s">
        <v>207</v>
      </c>
      <c r="D143" t="str">
        <f>HYPERLINK("https://rhld.insurance.arkansas.gov/NPILookup?Npi=1164001533","1164001533")</f>
        <v>1164001533</v>
      </c>
      <c r="E143" t="s">
        <v>222</v>
      </c>
      <c r="F143" t="s">
        <v>13</v>
      </c>
      <c r="G143" s="20">
        <v>2</v>
      </c>
      <c r="H143" t="s">
        <v>219</v>
      </c>
      <c r="I143" t="s">
        <v>4357</v>
      </c>
      <c r="J143" s="9"/>
      <c r="K143" s="9"/>
      <c r="L143" s="9"/>
    </row>
    <row r="144" spans="2:12" ht="15" x14ac:dyDescent="0.25">
      <c r="B144" t="s">
        <v>206</v>
      </c>
      <c r="C144" t="s">
        <v>207</v>
      </c>
      <c r="D144" t="str">
        <f>HYPERLINK("https://rhld.insurance.arkansas.gov/NPILookup?Npi=1194463679","1194463679")</f>
        <v>1194463679</v>
      </c>
      <c r="E144" t="s">
        <v>223</v>
      </c>
      <c r="F144" t="s">
        <v>13</v>
      </c>
      <c r="G144" s="20">
        <v>1</v>
      </c>
      <c r="H144" t="s">
        <v>4357</v>
      </c>
      <c r="I144" t="s">
        <v>4357</v>
      </c>
      <c r="J144" s="9"/>
      <c r="K144" s="9"/>
      <c r="L144" s="9"/>
    </row>
    <row r="145" spans="2:12" ht="15" x14ac:dyDescent="0.25">
      <c r="B145" t="s">
        <v>206</v>
      </c>
      <c r="C145" t="s">
        <v>207</v>
      </c>
      <c r="D145" t="str">
        <f>HYPERLINK("https://rhld.insurance.arkansas.gov/NPILookup?Npi=1225820632","1225820632")</f>
        <v>1225820632</v>
      </c>
      <c r="E145" t="s">
        <v>226</v>
      </c>
      <c r="F145" t="s">
        <v>13</v>
      </c>
      <c r="G145" s="20">
        <v>2</v>
      </c>
      <c r="H145" t="s">
        <v>219</v>
      </c>
      <c r="I145" t="s">
        <v>4357</v>
      </c>
      <c r="J145" s="9"/>
      <c r="K145" s="9"/>
      <c r="L145" s="9"/>
    </row>
    <row r="146" spans="2:12" ht="15" x14ac:dyDescent="0.25">
      <c r="B146" t="s">
        <v>206</v>
      </c>
      <c r="C146" t="s">
        <v>207</v>
      </c>
      <c r="D146" t="str">
        <f>HYPERLINK("https://rhld.insurance.arkansas.gov/NPILookup?Npi=1225057029","1225057029")</f>
        <v>1225057029</v>
      </c>
      <c r="E146" t="s">
        <v>224</v>
      </c>
      <c r="F146" t="s">
        <v>12</v>
      </c>
      <c r="G146" s="20">
        <v>1</v>
      </c>
      <c r="H146" t="s">
        <v>225</v>
      </c>
      <c r="I146" t="s">
        <v>4357</v>
      </c>
      <c r="J146" s="9"/>
      <c r="K146" s="9"/>
      <c r="L146" s="9"/>
    </row>
    <row r="147" spans="2:12" ht="15" x14ac:dyDescent="0.25">
      <c r="B147" t="s">
        <v>206</v>
      </c>
      <c r="C147" t="s">
        <v>207</v>
      </c>
      <c r="D147" t="str">
        <f>HYPERLINK("https://rhld.insurance.arkansas.gov/NPILookup?Npi=1245086958","1245086958")</f>
        <v>1245086958</v>
      </c>
      <c r="E147" t="s">
        <v>227</v>
      </c>
      <c r="F147" t="s">
        <v>13</v>
      </c>
      <c r="G147" s="20">
        <v>2</v>
      </c>
      <c r="H147" t="s">
        <v>219</v>
      </c>
      <c r="I147" t="s">
        <v>4357</v>
      </c>
      <c r="J147" s="9"/>
      <c r="K147" s="9"/>
      <c r="L147" s="9"/>
    </row>
    <row r="148" spans="2:12" ht="15" x14ac:dyDescent="0.25">
      <c r="B148" t="s">
        <v>206</v>
      </c>
      <c r="C148" t="s">
        <v>207</v>
      </c>
      <c r="D148" t="str">
        <f>HYPERLINK("https://rhld.insurance.arkansas.gov/NPILookup?Npi=1245935451","1245935451")</f>
        <v>1245935451</v>
      </c>
      <c r="E148" t="s">
        <v>228</v>
      </c>
      <c r="F148" t="s">
        <v>13</v>
      </c>
      <c r="G148" s="20">
        <v>2</v>
      </c>
      <c r="H148" t="s">
        <v>219</v>
      </c>
      <c r="I148" t="s">
        <v>4357</v>
      </c>
      <c r="J148" s="9"/>
      <c r="K148" s="9"/>
      <c r="L148" s="9"/>
    </row>
    <row r="149" spans="2:12" ht="15" x14ac:dyDescent="0.25">
      <c r="B149" t="s">
        <v>206</v>
      </c>
      <c r="C149" t="s">
        <v>207</v>
      </c>
      <c r="D149" t="str">
        <f>HYPERLINK("https://rhld.insurance.arkansas.gov/NPILookup?Npi=1255227609","1255227609")</f>
        <v>1255227609</v>
      </c>
      <c r="E149" t="s">
        <v>229</v>
      </c>
      <c r="F149" t="s">
        <v>13</v>
      </c>
      <c r="G149" s="20">
        <v>2</v>
      </c>
      <c r="H149" t="s">
        <v>219</v>
      </c>
      <c r="I149" t="s">
        <v>4357</v>
      </c>
      <c r="J149" s="9"/>
      <c r="K149" s="9"/>
      <c r="L149" s="9"/>
    </row>
    <row r="150" spans="2:12" ht="15" x14ac:dyDescent="0.25">
      <c r="B150" t="s">
        <v>206</v>
      </c>
      <c r="C150" t="s">
        <v>207</v>
      </c>
      <c r="D150" t="str">
        <f>HYPERLINK("https://rhld.insurance.arkansas.gov/NPILookup?Npi=1265327407","1265327407")</f>
        <v>1265327407</v>
      </c>
      <c r="E150" t="s">
        <v>230</v>
      </c>
      <c r="F150" t="s">
        <v>13</v>
      </c>
      <c r="G150" s="20">
        <v>2</v>
      </c>
      <c r="H150" t="s">
        <v>219</v>
      </c>
      <c r="I150" t="s">
        <v>4357</v>
      </c>
      <c r="J150" s="9"/>
      <c r="K150" s="9"/>
      <c r="L150" s="9"/>
    </row>
    <row r="151" spans="2:12" ht="15" x14ac:dyDescent="0.25">
      <c r="B151" t="s">
        <v>206</v>
      </c>
      <c r="C151" t="s">
        <v>207</v>
      </c>
      <c r="D151" t="str">
        <f>HYPERLINK("https://rhld.insurance.arkansas.gov/NPILookup?Npi=1295584092","1295584092")</f>
        <v>1295584092</v>
      </c>
      <c r="E151" t="s">
        <v>231</v>
      </c>
      <c r="F151" t="s">
        <v>13</v>
      </c>
      <c r="G151" s="20">
        <v>2</v>
      </c>
      <c r="H151" t="s">
        <v>219</v>
      </c>
      <c r="I151" t="s">
        <v>4357</v>
      </c>
      <c r="J151" s="9"/>
      <c r="K151" s="9"/>
      <c r="L151" s="9"/>
    </row>
    <row r="152" spans="2:12" ht="15" x14ac:dyDescent="0.25">
      <c r="B152" t="s">
        <v>206</v>
      </c>
      <c r="C152" t="s">
        <v>207</v>
      </c>
      <c r="D152" t="str">
        <f>HYPERLINK("https://rhld.insurance.arkansas.gov/NPILookup?Npi=1336839075","1336839075")</f>
        <v>1336839075</v>
      </c>
      <c r="E152" t="s">
        <v>235</v>
      </c>
      <c r="F152" t="s">
        <v>13</v>
      </c>
      <c r="G152" s="20">
        <v>1</v>
      </c>
      <c r="H152" t="s">
        <v>213</v>
      </c>
      <c r="I152" t="s">
        <v>4357</v>
      </c>
      <c r="J152" s="9"/>
      <c r="K152" s="9"/>
      <c r="L152" s="9"/>
    </row>
    <row r="153" spans="2:12" ht="15" x14ac:dyDescent="0.25">
      <c r="B153" t="s">
        <v>206</v>
      </c>
      <c r="C153" t="s">
        <v>207</v>
      </c>
      <c r="D153" t="str">
        <f>HYPERLINK("https://rhld.insurance.arkansas.gov/NPILookup?Npi=1295806768","1295806768")</f>
        <v>1295806768</v>
      </c>
      <c r="E153" t="s">
        <v>232</v>
      </c>
      <c r="F153" t="s">
        <v>12</v>
      </c>
      <c r="G153" s="20">
        <v>1</v>
      </c>
      <c r="H153" t="s">
        <v>233</v>
      </c>
      <c r="I153" t="s">
        <v>32</v>
      </c>
      <c r="J153" s="9"/>
      <c r="K153" s="9"/>
      <c r="L153" s="9"/>
    </row>
    <row r="154" spans="2:12" ht="15" x14ac:dyDescent="0.25">
      <c r="B154" t="s">
        <v>206</v>
      </c>
      <c r="C154" t="s">
        <v>207</v>
      </c>
      <c r="D154" t="str">
        <f>HYPERLINK("https://rhld.insurance.arkansas.gov/NPILookup?Npi=1316992688","1316992688")</f>
        <v>1316992688</v>
      </c>
      <c r="E154" t="s">
        <v>234</v>
      </c>
      <c r="F154" t="s">
        <v>12</v>
      </c>
      <c r="G154" s="20">
        <v>1</v>
      </c>
      <c r="H154" t="s">
        <v>233</v>
      </c>
      <c r="I154" t="s">
        <v>32</v>
      </c>
      <c r="J154" s="9"/>
      <c r="K154" s="9"/>
      <c r="L154" s="9"/>
    </row>
    <row r="155" spans="2:12" ht="15" x14ac:dyDescent="0.25">
      <c r="B155" t="s">
        <v>206</v>
      </c>
      <c r="C155" t="s">
        <v>207</v>
      </c>
      <c r="D155" t="str">
        <f>HYPERLINK("https://rhld.insurance.arkansas.gov/NPILookup?Npi=1346137791","1346137791")</f>
        <v>1346137791</v>
      </c>
      <c r="E155" t="s">
        <v>236</v>
      </c>
      <c r="F155" t="s">
        <v>13</v>
      </c>
      <c r="G155" s="20">
        <v>1</v>
      </c>
      <c r="H155" t="s">
        <v>4357</v>
      </c>
      <c r="I155" t="s">
        <v>4357</v>
      </c>
      <c r="J155" s="9"/>
      <c r="K155" s="9"/>
      <c r="L155" s="9"/>
    </row>
    <row r="156" spans="2:12" ht="15" x14ac:dyDescent="0.25">
      <c r="B156" t="s">
        <v>206</v>
      </c>
      <c r="C156" t="s">
        <v>207</v>
      </c>
      <c r="D156" t="str">
        <f>HYPERLINK("https://rhld.insurance.arkansas.gov/NPILookup?Npi=1366252371","1366252371")</f>
        <v>1366252371</v>
      </c>
      <c r="E156" t="s">
        <v>239</v>
      </c>
      <c r="F156" t="s">
        <v>13</v>
      </c>
      <c r="G156" s="20">
        <v>1</v>
      </c>
      <c r="H156" t="s">
        <v>213</v>
      </c>
      <c r="I156" t="s">
        <v>4357</v>
      </c>
      <c r="J156" s="9"/>
      <c r="K156" s="9"/>
      <c r="L156" s="9"/>
    </row>
    <row r="157" spans="2:12" ht="15" x14ac:dyDescent="0.25">
      <c r="B157" t="s">
        <v>206</v>
      </c>
      <c r="C157" t="s">
        <v>207</v>
      </c>
      <c r="D157" t="str">
        <f>HYPERLINK("https://rhld.insurance.arkansas.gov/NPILookup?Npi=1346989316","1346989316")</f>
        <v>1346989316</v>
      </c>
      <c r="E157" t="s">
        <v>237</v>
      </c>
      <c r="F157" t="s">
        <v>12</v>
      </c>
      <c r="G157" s="20">
        <v>1</v>
      </c>
      <c r="H157" t="s">
        <v>211</v>
      </c>
      <c r="I157" t="s">
        <v>4357</v>
      </c>
      <c r="J157" s="9"/>
      <c r="K157" s="9"/>
      <c r="L157" s="9"/>
    </row>
    <row r="158" spans="2:12" ht="15" x14ac:dyDescent="0.25">
      <c r="B158" t="s">
        <v>206</v>
      </c>
      <c r="C158" t="s">
        <v>207</v>
      </c>
      <c r="D158" t="str">
        <f>HYPERLINK("https://rhld.insurance.arkansas.gov/NPILookup?Npi=1356809677","1356809677")</f>
        <v>1356809677</v>
      </c>
      <c r="E158" t="s">
        <v>238</v>
      </c>
      <c r="F158" t="s">
        <v>12</v>
      </c>
      <c r="G158" s="20">
        <v>1</v>
      </c>
      <c r="H158" t="s">
        <v>211</v>
      </c>
      <c r="I158" t="s">
        <v>32</v>
      </c>
      <c r="J158" s="9"/>
      <c r="K158" s="9"/>
      <c r="L158" s="9"/>
    </row>
    <row r="159" spans="2:12" ht="15" x14ac:dyDescent="0.25">
      <c r="B159" t="s">
        <v>206</v>
      </c>
      <c r="C159" t="s">
        <v>207</v>
      </c>
      <c r="D159" t="str">
        <f>HYPERLINK("https://rhld.insurance.arkansas.gov/NPILookup?Npi=1396188116","1396188116")</f>
        <v>1396188116</v>
      </c>
      <c r="E159" t="s">
        <v>244</v>
      </c>
      <c r="F159" t="s">
        <v>13</v>
      </c>
      <c r="G159" s="20">
        <v>1</v>
      </c>
      <c r="H159" t="s">
        <v>213</v>
      </c>
      <c r="I159" t="s">
        <v>4357</v>
      </c>
      <c r="J159" s="9"/>
      <c r="K159" s="9"/>
      <c r="L159" s="9"/>
    </row>
    <row r="160" spans="2:12" ht="15" x14ac:dyDescent="0.25">
      <c r="B160" t="s">
        <v>206</v>
      </c>
      <c r="C160" t="s">
        <v>207</v>
      </c>
      <c r="D160" t="str">
        <f>HYPERLINK("https://rhld.insurance.arkansas.gov/NPILookup?Npi=1366772287","1366772287")</f>
        <v>1366772287</v>
      </c>
      <c r="E160" t="s">
        <v>240</v>
      </c>
      <c r="F160" t="s">
        <v>12</v>
      </c>
      <c r="G160" s="20">
        <v>1</v>
      </c>
      <c r="H160" t="s">
        <v>211</v>
      </c>
      <c r="I160" t="s">
        <v>32</v>
      </c>
      <c r="J160" s="9"/>
      <c r="K160" s="9"/>
      <c r="L160" s="9"/>
    </row>
    <row r="161" spans="2:12" ht="15" x14ac:dyDescent="0.25">
      <c r="B161" t="s">
        <v>206</v>
      </c>
      <c r="C161" t="s">
        <v>207</v>
      </c>
      <c r="D161" t="str">
        <f>HYPERLINK("https://rhld.insurance.arkansas.gov/NPILookup?Npi=1376657502","1376657502")</f>
        <v>1376657502</v>
      </c>
      <c r="E161" t="s">
        <v>241</v>
      </c>
      <c r="F161" t="s">
        <v>12</v>
      </c>
      <c r="G161" s="20">
        <v>1</v>
      </c>
      <c r="H161" t="s">
        <v>211</v>
      </c>
      <c r="I161" t="s">
        <v>4357</v>
      </c>
      <c r="J161" s="9"/>
      <c r="K161" s="9"/>
      <c r="L161" s="9"/>
    </row>
    <row r="162" spans="2:12" ht="15" x14ac:dyDescent="0.25">
      <c r="B162" t="s">
        <v>206</v>
      </c>
      <c r="C162" t="s">
        <v>207</v>
      </c>
      <c r="D162" t="str">
        <f>HYPERLINK("https://rhld.insurance.arkansas.gov/NPILookup?Npi=1386706224","1386706224")</f>
        <v>1386706224</v>
      </c>
      <c r="E162" t="s">
        <v>242</v>
      </c>
      <c r="F162" t="s">
        <v>12</v>
      </c>
      <c r="G162" s="20">
        <v>1</v>
      </c>
      <c r="H162" t="s">
        <v>211</v>
      </c>
      <c r="I162" t="s">
        <v>32</v>
      </c>
      <c r="J162" s="9"/>
      <c r="K162" s="9"/>
      <c r="L162" s="9"/>
    </row>
    <row r="163" spans="2:12" ht="15" x14ac:dyDescent="0.25">
      <c r="B163" t="s">
        <v>206</v>
      </c>
      <c r="C163" t="s">
        <v>207</v>
      </c>
      <c r="D163" t="str">
        <f>HYPERLINK("https://rhld.insurance.arkansas.gov/NPILookup?Npi=1386726362","1386726362")</f>
        <v>1386726362</v>
      </c>
      <c r="E163" t="s">
        <v>243</v>
      </c>
      <c r="F163" t="s">
        <v>12</v>
      </c>
      <c r="G163" s="20">
        <v>1</v>
      </c>
      <c r="H163" t="s">
        <v>211</v>
      </c>
      <c r="I163" t="s">
        <v>32</v>
      </c>
      <c r="J163" s="9"/>
      <c r="K163" s="9"/>
      <c r="L163" s="9"/>
    </row>
    <row r="164" spans="2:12" ht="15" x14ac:dyDescent="0.25">
      <c r="B164" t="s">
        <v>206</v>
      </c>
      <c r="C164" t="s">
        <v>207</v>
      </c>
      <c r="D164" t="str">
        <f>HYPERLINK("https://rhld.insurance.arkansas.gov/NPILookup?Npi=1417792839","1417792839")</f>
        <v>1417792839</v>
      </c>
      <c r="E164" t="s">
        <v>249</v>
      </c>
      <c r="F164" t="s">
        <v>13</v>
      </c>
      <c r="G164" s="20">
        <v>1</v>
      </c>
      <c r="H164" t="s">
        <v>4357</v>
      </c>
      <c r="I164" t="s">
        <v>4357</v>
      </c>
      <c r="J164" s="9"/>
      <c r="K164" s="9"/>
      <c r="L164" s="9"/>
    </row>
    <row r="165" spans="2:12" ht="15" x14ac:dyDescent="0.25">
      <c r="B165" t="s">
        <v>206</v>
      </c>
      <c r="C165" t="s">
        <v>207</v>
      </c>
      <c r="D165" t="str">
        <f>HYPERLINK("https://rhld.insurance.arkansas.gov/NPILookup?Npi=1396474011","1396474011")</f>
        <v>1396474011</v>
      </c>
      <c r="E165" t="s">
        <v>245</v>
      </c>
      <c r="F165" t="s">
        <v>12</v>
      </c>
      <c r="G165" s="20">
        <v>1</v>
      </c>
      <c r="H165" t="s">
        <v>211</v>
      </c>
      <c r="I165" t="s">
        <v>32</v>
      </c>
      <c r="J165" s="9"/>
      <c r="K165" s="9"/>
      <c r="L165" s="9"/>
    </row>
    <row r="166" spans="2:12" ht="15" x14ac:dyDescent="0.25">
      <c r="B166" t="s">
        <v>206</v>
      </c>
      <c r="C166" t="s">
        <v>207</v>
      </c>
      <c r="D166" t="str">
        <f>HYPERLINK("https://rhld.insurance.arkansas.gov/NPILookup?Npi=1407238090","1407238090")</f>
        <v>1407238090</v>
      </c>
      <c r="E166" t="s">
        <v>246</v>
      </c>
      <c r="F166" t="s">
        <v>12</v>
      </c>
      <c r="G166" s="20">
        <v>1</v>
      </c>
      <c r="H166" t="s">
        <v>211</v>
      </c>
      <c r="I166" t="s">
        <v>4357</v>
      </c>
      <c r="J166" s="9"/>
      <c r="K166" s="9"/>
      <c r="L166" s="9"/>
    </row>
    <row r="167" spans="2:12" ht="15" x14ac:dyDescent="0.25">
      <c r="B167" t="s">
        <v>206</v>
      </c>
      <c r="C167" t="s">
        <v>207</v>
      </c>
      <c r="D167" t="str">
        <f>HYPERLINK("https://rhld.insurance.arkansas.gov/NPILookup?Npi=1407917800","1407917800")</f>
        <v>1407917800</v>
      </c>
      <c r="E167" t="s">
        <v>247</v>
      </c>
      <c r="F167" t="s">
        <v>12</v>
      </c>
      <c r="G167" s="20">
        <v>1</v>
      </c>
      <c r="H167" t="s">
        <v>211</v>
      </c>
      <c r="I167" t="s">
        <v>32</v>
      </c>
      <c r="J167" s="9"/>
      <c r="K167" s="9"/>
      <c r="L167" s="9"/>
    </row>
    <row r="168" spans="2:12" ht="15" x14ac:dyDescent="0.25">
      <c r="B168" t="s">
        <v>206</v>
      </c>
      <c r="C168" t="s">
        <v>207</v>
      </c>
      <c r="D168" t="str">
        <f>HYPERLINK("https://rhld.insurance.arkansas.gov/NPILookup?Npi=1417565482","1417565482")</f>
        <v>1417565482</v>
      </c>
      <c r="E168" t="s">
        <v>248</v>
      </c>
      <c r="F168" t="s">
        <v>12</v>
      </c>
      <c r="G168" s="20">
        <v>1</v>
      </c>
      <c r="H168" t="s">
        <v>211</v>
      </c>
      <c r="I168" t="s">
        <v>32</v>
      </c>
      <c r="J168" s="9"/>
      <c r="K168" s="9"/>
      <c r="L168" s="9"/>
    </row>
    <row r="169" spans="2:12" ht="15" x14ac:dyDescent="0.25">
      <c r="B169" t="s">
        <v>206</v>
      </c>
      <c r="C169" t="s">
        <v>207</v>
      </c>
      <c r="D169" t="str">
        <f>HYPERLINK("https://rhld.insurance.arkansas.gov/NPILookup?Npi=1467474791","1467474791")</f>
        <v>1467474791</v>
      </c>
      <c r="E169" t="s">
        <v>259</v>
      </c>
      <c r="F169" t="s">
        <v>13</v>
      </c>
      <c r="G169" s="20">
        <v>2</v>
      </c>
      <c r="H169" t="s">
        <v>219</v>
      </c>
      <c r="I169" t="s">
        <v>4357</v>
      </c>
      <c r="J169" s="9"/>
      <c r="K169" s="9"/>
      <c r="L169" s="9"/>
    </row>
    <row r="170" spans="2:12" ht="15" x14ac:dyDescent="0.25">
      <c r="B170" t="s">
        <v>206</v>
      </c>
      <c r="C170" t="s">
        <v>207</v>
      </c>
      <c r="D170" t="str">
        <f>HYPERLINK("https://rhld.insurance.arkansas.gov/NPILookup?Npi=1427060979","1427060979")</f>
        <v>1427060979</v>
      </c>
      <c r="E170" t="s">
        <v>250</v>
      </c>
      <c r="F170" t="s">
        <v>12</v>
      </c>
      <c r="G170" s="20">
        <v>1</v>
      </c>
      <c r="H170" t="s">
        <v>211</v>
      </c>
      <c r="I170" t="s">
        <v>32</v>
      </c>
      <c r="J170" s="9"/>
      <c r="K170" s="9"/>
      <c r="L170" s="9"/>
    </row>
    <row r="171" spans="2:12" ht="15" x14ac:dyDescent="0.25">
      <c r="B171" t="s">
        <v>206</v>
      </c>
      <c r="C171" t="s">
        <v>207</v>
      </c>
      <c r="D171" t="str">
        <f>HYPERLINK("https://rhld.insurance.arkansas.gov/NPILookup?Npi=1427431261","1427431261")</f>
        <v>1427431261</v>
      </c>
      <c r="E171" t="s">
        <v>251</v>
      </c>
      <c r="F171" t="s">
        <v>12</v>
      </c>
      <c r="G171" s="20">
        <v>1</v>
      </c>
      <c r="H171" t="s">
        <v>211</v>
      </c>
      <c r="I171" t="s">
        <v>32</v>
      </c>
      <c r="J171" s="9"/>
      <c r="K171" s="9"/>
      <c r="L171" s="9"/>
    </row>
    <row r="172" spans="2:12" ht="15" x14ac:dyDescent="0.25">
      <c r="B172" t="s">
        <v>206</v>
      </c>
      <c r="C172" t="s">
        <v>207</v>
      </c>
      <c r="D172" t="str">
        <f>HYPERLINK("https://rhld.insurance.arkansas.gov/NPILookup?Npi=1427476191","1427476191")</f>
        <v>1427476191</v>
      </c>
      <c r="E172" t="s">
        <v>252</v>
      </c>
      <c r="F172" t="s">
        <v>12</v>
      </c>
      <c r="G172" s="20">
        <v>1</v>
      </c>
      <c r="H172" t="s">
        <v>211</v>
      </c>
      <c r="I172" t="s">
        <v>32</v>
      </c>
      <c r="J172" s="9"/>
      <c r="K172" s="9"/>
      <c r="L172" s="9"/>
    </row>
    <row r="173" spans="2:12" ht="15" x14ac:dyDescent="0.25">
      <c r="B173" t="s">
        <v>206</v>
      </c>
      <c r="C173" t="s">
        <v>207</v>
      </c>
      <c r="D173" t="str">
        <f>HYPERLINK("https://rhld.insurance.arkansas.gov/NPILookup?Npi=1437144458","1437144458")</f>
        <v>1437144458</v>
      </c>
      <c r="E173" t="s">
        <v>253</v>
      </c>
      <c r="F173" t="s">
        <v>12</v>
      </c>
      <c r="G173" s="20">
        <v>1</v>
      </c>
      <c r="H173" t="s">
        <v>211</v>
      </c>
      <c r="I173" t="s">
        <v>4357</v>
      </c>
      <c r="J173" s="9"/>
      <c r="K173" s="9"/>
      <c r="L173" s="9"/>
    </row>
    <row r="174" spans="2:12" ht="15" x14ac:dyDescent="0.25">
      <c r="B174" t="s">
        <v>206</v>
      </c>
      <c r="C174" t="s">
        <v>207</v>
      </c>
      <c r="D174" t="str">
        <f>HYPERLINK("https://rhld.insurance.arkansas.gov/NPILookup?Npi=1437739018","1437739018")</f>
        <v>1437739018</v>
      </c>
      <c r="E174" t="s">
        <v>254</v>
      </c>
      <c r="F174" t="s">
        <v>12</v>
      </c>
      <c r="G174" s="20">
        <v>1</v>
      </c>
      <c r="H174" t="s">
        <v>211</v>
      </c>
      <c r="I174" t="s">
        <v>4357</v>
      </c>
      <c r="J174" s="9"/>
      <c r="K174" s="9"/>
      <c r="L174" s="9"/>
    </row>
    <row r="175" spans="2:12" ht="15" x14ac:dyDescent="0.25">
      <c r="B175" t="s">
        <v>206</v>
      </c>
      <c r="C175" t="s">
        <v>207</v>
      </c>
      <c r="D175" t="str">
        <f>HYPERLINK("https://rhld.insurance.arkansas.gov/NPILookup?Npi=1447217369","1447217369")</f>
        <v>1447217369</v>
      </c>
      <c r="E175" t="s">
        <v>255</v>
      </c>
      <c r="F175" t="s">
        <v>12</v>
      </c>
      <c r="G175" s="20">
        <v>1</v>
      </c>
      <c r="H175" t="s">
        <v>211</v>
      </c>
      <c r="I175" t="s">
        <v>32</v>
      </c>
      <c r="J175" s="9"/>
      <c r="K175" s="9"/>
      <c r="L175" s="9"/>
    </row>
    <row r="176" spans="2:12" ht="15" x14ac:dyDescent="0.25">
      <c r="B176" t="s">
        <v>206</v>
      </c>
      <c r="C176" t="s">
        <v>207</v>
      </c>
      <c r="D176" t="str">
        <f>HYPERLINK("https://rhld.insurance.arkansas.gov/NPILookup?Npi=1447357264","1447357264")</f>
        <v>1447357264</v>
      </c>
      <c r="E176" t="s">
        <v>256</v>
      </c>
      <c r="F176" t="s">
        <v>12</v>
      </c>
      <c r="G176" s="20">
        <v>1</v>
      </c>
      <c r="H176" t="s">
        <v>211</v>
      </c>
      <c r="I176" t="s">
        <v>4357</v>
      </c>
      <c r="J176" s="9"/>
      <c r="K176" s="9"/>
      <c r="L176" s="9"/>
    </row>
    <row r="177" spans="2:12" ht="15" x14ac:dyDescent="0.25">
      <c r="B177" t="s">
        <v>206</v>
      </c>
      <c r="C177" t="s">
        <v>207</v>
      </c>
      <c r="D177" t="str">
        <f>HYPERLINK("https://rhld.insurance.arkansas.gov/NPILookup?Npi=1447383567","1447383567")</f>
        <v>1447383567</v>
      </c>
      <c r="E177" t="s">
        <v>257</v>
      </c>
      <c r="F177" t="s">
        <v>12</v>
      </c>
      <c r="G177" s="20">
        <v>1</v>
      </c>
      <c r="H177" t="s">
        <v>211</v>
      </c>
      <c r="I177" t="s">
        <v>32</v>
      </c>
      <c r="J177" s="9"/>
      <c r="K177" s="9"/>
      <c r="L177" s="9"/>
    </row>
    <row r="178" spans="2:12" ht="15" x14ac:dyDescent="0.25">
      <c r="B178" t="s">
        <v>206</v>
      </c>
      <c r="C178" t="s">
        <v>207</v>
      </c>
      <c r="D178" t="str">
        <f>HYPERLINK("https://rhld.insurance.arkansas.gov/NPILookup?Npi=1457960239","1457960239")</f>
        <v>1457960239</v>
      </c>
      <c r="E178" t="s">
        <v>258</v>
      </c>
      <c r="F178" t="s">
        <v>12</v>
      </c>
      <c r="G178" s="20">
        <v>1</v>
      </c>
      <c r="H178" t="s">
        <v>211</v>
      </c>
      <c r="I178" t="s">
        <v>32</v>
      </c>
      <c r="J178" s="9"/>
      <c r="K178" s="9"/>
      <c r="L178" s="9"/>
    </row>
    <row r="179" spans="2:12" ht="15" x14ac:dyDescent="0.25">
      <c r="B179" t="s">
        <v>206</v>
      </c>
      <c r="C179" t="s">
        <v>207</v>
      </c>
      <c r="D179" t="str">
        <f>HYPERLINK("https://rhld.insurance.arkansas.gov/NPILookup?Npi=1487130969","1487130969")</f>
        <v>1487130969</v>
      </c>
      <c r="E179" t="s">
        <v>260</v>
      </c>
      <c r="F179" t="s">
        <v>13</v>
      </c>
      <c r="G179" s="20">
        <v>1</v>
      </c>
      <c r="H179" t="s">
        <v>213</v>
      </c>
      <c r="I179" t="s">
        <v>32</v>
      </c>
      <c r="J179" s="9"/>
      <c r="K179" s="9"/>
      <c r="L179" s="9"/>
    </row>
    <row r="180" spans="2:12" ht="15" x14ac:dyDescent="0.25">
      <c r="B180" t="s">
        <v>206</v>
      </c>
      <c r="C180" t="s">
        <v>207</v>
      </c>
      <c r="D180" t="str">
        <f>HYPERLINK("https://rhld.insurance.arkansas.gov/NPILookup?Npi=1508564774","1508564774")</f>
        <v>1508564774</v>
      </c>
      <c r="E180" t="s">
        <v>264</v>
      </c>
      <c r="F180" t="s">
        <v>13</v>
      </c>
      <c r="G180" s="20">
        <v>2</v>
      </c>
      <c r="H180" t="s">
        <v>219</v>
      </c>
      <c r="I180" t="s">
        <v>4357</v>
      </c>
      <c r="J180" s="9"/>
      <c r="K180" s="9"/>
      <c r="L180" s="9"/>
    </row>
    <row r="181" spans="2:12" ht="15" x14ac:dyDescent="0.25">
      <c r="B181" t="s">
        <v>206</v>
      </c>
      <c r="C181" t="s">
        <v>207</v>
      </c>
      <c r="D181" t="str">
        <f>HYPERLINK("https://rhld.insurance.arkansas.gov/NPILookup?Npi=1487829420","1487829420")</f>
        <v>1487829420</v>
      </c>
      <c r="E181" t="s">
        <v>261</v>
      </c>
      <c r="F181" t="s">
        <v>12</v>
      </c>
      <c r="G181" s="20">
        <v>1</v>
      </c>
      <c r="H181" t="s">
        <v>211</v>
      </c>
      <c r="I181" t="s">
        <v>32</v>
      </c>
      <c r="J181" s="9"/>
      <c r="K181" s="9"/>
      <c r="L181" s="9"/>
    </row>
    <row r="182" spans="2:12" ht="15" x14ac:dyDescent="0.25">
      <c r="B182" t="s">
        <v>206</v>
      </c>
      <c r="C182" t="s">
        <v>207</v>
      </c>
      <c r="D182" t="str">
        <f>HYPERLINK("https://rhld.insurance.arkansas.gov/NPILookup?Npi=1497826366","1497826366")</f>
        <v>1497826366</v>
      </c>
      <c r="E182" t="s">
        <v>262</v>
      </c>
      <c r="F182" t="s">
        <v>12</v>
      </c>
      <c r="G182" s="20">
        <v>1</v>
      </c>
      <c r="H182" t="s">
        <v>211</v>
      </c>
      <c r="I182" t="s">
        <v>32</v>
      </c>
      <c r="J182" s="9"/>
      <c r="K182" s="9"/>
      <c r="L182" s="9"/>
    </row>
    <row r="183" spans="2:12" ht="15" x14ac:dyDescent="0.25">
      <c r="B183" t="s">
        <v>206</v>
      </c>
      <c r="C183" t="s">
        <v>207</v>
      </c>
      <c r="D183" t="str">
        <f>HYPERLINK("https://rhld.insurance.arkansas.gov/NPILookup?Npi=1508434515","1508434515")</f>
        <v>1508434515</v>
      </c>
      <c r="E183" t="s">
        <v>263</v>
      </c>
      <c r="F183" t="s">
        <v>12</v>
      </c>
      <c r="G183" s="20">
        <v>1</v>
      </c>
      <c r="H183" t="s">
        <v>211</v>
      </c>
      <c r="I183" t="s">
        <v>4357</v>
      </c>
      <c r="J183" s="9"/>
      <c r="K183" s="9"/>
      <c r="L183" s="9"/>
    </row>
    <row r="184" spans="2:12" ht="15" x14ac:dyDescent="0.25">
      <c r="B184" t="s">
        <v>206</v>
      </c>
      <c r="C184" t="s">
        <v>207</v>
      </c>
      <c r="D184" t="str">
        <f>HYPERLINK("https://rhld.insurance.arkansas.gov/NPILookup?Npi=1548060593","1548060593")</f>
        <v>1548060593</v>
      </c>
      <c r="E184" t="s">
        <v>267</v>
      </c>
      <c r="F184" t="s">
        <v>13</v>
      </c>
      <c r="G184" s="20">
        <v>1</v>
      </c>
      <c r="H184" t="s">
        <v>213</v>
      </c>
      <c r="I184" t="s">
        <v>4357</v>
      </c>
      <c r="J184" s="9"/>
      <c r="K184" s="9"/>
      <c r="L184" s="9"/>
    </row>
    <row r="185" spans="2:12" ht="15" x14ac:dyDescent="0.25">
      <c r="B185" t="s">
        <v>206</v>
      </c>
      <c r="C185" t="s">
        <v>207</v>
      </c>
      <c r="D185" t="str">
        <f>HYPERLINK("https://rhld.insurance.arkansas.gov/NPILookup?Npi=1518434398","1518434398")</f>
        <v>1518434398</v>
      </c>
      <c r="E185" t="s">
        <v>265</v>
      </c>
      <c r="F185" t="s">
        <v>12</v>
      </c>
      <c r="G185" s="20">
        <v>1</v>
      </c>
      <c r="H185" t="s">
        <v>211</v>
      </c>
      <c r="I185" t="s">
        <v>32</v>
      </c>
      <c r="J185" s="9"/>
      <c r="K185" s="9"/>
      <c r="L185" s="9"/>
    </row>
    <row r="186" spans="2:12" ht="15" x14ac:dyDescent="0.25">
      <c r="B186" t="s">
        <v>206</v>
      </c>
      <c r="C186" t="s">
        <v>207</v>
      </c>
      <c r="D186" t="str">
        <f>HYPERLINK("https://rhld.insurance.arkansas.gov/NPILookup?Npi=1528086352","1528086352")</f>
        <v>1528086352</v>
      </c>
      <c r="E186" t="s">
        <v>266</v>
      </c>
      <c r="F186" t="s">
        <v>12</v>
      </c>
      <c r="G186" s="20">
        <v>1</v>
      </c>
      <c r="H186" t="s">
        <v>211</v>
      </c>
      <c r="I186" t="s">
        <v>4357</v>
      </c>
      <c r="J186" s="9"/>
      <c r="K186" s="9"/>
      <c r="L186" s="9"/>
    </row>
    <row r="187" spans="2:12" ht="15" x14ac:dyDescent="0.25">
      <c r="B187" t="s">
        <v>206</v>
      </c>
      <c r="C187" t="s">
        <v>207</v>
      </c>
      <c r="D187" t="str">
        <f>HYPERLINK("https://rhld.insurance.arkansas.gov/NPILookup?Npi=1558051797","1558051797")</f>
        <v>1558051797</v>
      </c>
      <c r="E187" t="s">
        <v>270</v>
      </c>
      <c r="F187" t="s">
        <v>13</v>
      </c>
      <c r="G187" s="20">
        <v>1</v>
      </c>
      <c r="H187" t="s">
        <v>4357</v>
      </c>
      <c r="I187" t="s">
        <v>4357</v>
      </c>
      <c r="J187" s="9"/>
      <c r="K187" s="9"/>
      <c r="L187" s="9"/>
    </row>
    <row r="188" spans="2:12" ht="15" x14ac:dyDescent="0.25">
      <c r="B188" t="s">
        <v>206</v>
      </c>
      <c r="C188" t="s">
        <v>207</v>
      </c>
      <c r="D188" t="str">
        <f>HYPERLINK("https://rhld.insurance.arkansas.gov/NPILookup?Npi=1548249089","1548249089")</f>
        <v>1548249089</v>
      </c>
      <c r="E188" t="s">
        <v>268</v>
      </c>
      <c r="F188" t="s">
        <v>12</v>
      </c>
      <c r="G188" s="20">
        <v>1</v>
      </c>
      <c r="H188" t="s">
        <v>211</v>
      </c>
      <c r="I188" t="s">
        <v>4357</v>
      </c>
      <c r="J188" s="9"/>
      <c r="K188" s="9"/>
      <c r="L188" s="9"/>
    </row>
    <row r="189" spans="2:12" ht="15" x14ac:dyDescent="0.25">
      <c r="B189" t="s">
        <v>206</v>
      </c>
      <c r="C189" t="s">
        <v>207</v>
      </c>
      <c r="D189" t="str">
        <f>HYPERLINK("https://rhld.insurance.arkansas.gov/NPILookup?Npi=1548296445","1548296445")</f>
        <v>1548296445</v>
      </c>
      <c r="E189" t="s">
        <v>269</v>
      </c>
      <c r="F189" t="s">
        <v>12</v>
      </c>
      <c r="G189" s="20">
        <v>1</v>
      </c>
      <c r="H189" t="s">
        <v>211</v>
      </c>
      <c r="I189" t="s">
        <v>32</v>
      </c>
      <c r="J189" s="9"/>
      <c r="K189" s="9"/>
      <c r="L189" s="9"/>
    </row>
    <row r="190" spans="2:12" ht="15" x14ac:dyDescent="0.25">
      <c r="B190" t="s">
        <v>206</v>
      </c>
      <c r="C190" t="s">
        <v>207</v>
      </c>
      <c r="D190" t="str">
        <f>HYPERLINK("https://rhld.insurance.arkansas.gov/NPILookup?Npi=1578458675","1578458675")</f>
        <v>1578458675</v>
      </c>
      <c r="E190" t="s">
        <v>276</v>
      </c>
      <c r="F190" t="s">
        <v>13</v>
      </c>
      <c r="G190" s="20">
        <v>1</v>
      </c>
      <c r="H190" t="s">
        <v>213</v>
      </c>
      <c r="I190" t="s">
        <v>4357</v>
      </c>
      <c r="J190" s="9"/>
      <c r="K190" s="9"/>
      <c r="L190" s="9"/>
    </row>
    <row r="191" spans="2:12" ht="15" x14ac:dyDescent="0.25">
      <c r="B191" t="s">
        <v>206</v>
      </c>
      <c r="C191" t="s">
        <v>207</v>
      </c>
      <c r="D191" t="str">
        <f>HYPERLINK("https://rhld.insurance.arkansas.gov/NPILookup?Npi=1558556027","1558556027")</f>
        <v>1558556027</v>
      </c>
      <c r="E191" t="s">
        <v>271</v>
      </c>
      <c r="F191" t="s">
        <v>12</v>
      </c>
      <c r="G191" s="20">
        <v>1</v>
      </c>
      <c r="H191" t="s">
        <v>211</v>
      </c>
      <c r="I191" t="s">
        <v>32</v>
      </c>
      <c r="J191" s="9"/>
      <c r="K191" s="9"/>
      <c r="L191" s="9"/>
    </row>
    <row r="192" spans="2:12" ht="15" x14ac:dyDescent="0.25">
      <c r="B192" t="s">
        <v>206</v>
      </c>
      <c r="C192" t="s">
        <v>207</v>
      </c>
      <c r="D192" t="str">
        <f>HYPERLINK("https://rhld.insurance.arkansas.gov/NPILookup?Npi=1558884197","1558884197")</f>
        <v>1558884197</v>
      </c>
      <c r="E192" t="s">
        <v>272</v>
      </c>
      <c r="F192" t="s">
        <v>12</v>
      </c>
      <c r="G192" s="20">
        <v>1</v>
      </c>
      <c r="H192" t="s">
        <v>211</v>
      </c>
      <c r="I192" t="s">
        <v>32</v>
      </c>
      <c r="J192" s="9"/>
      <c r="K192" s="9"/>
      <c r="L192" s="9"/>
    </row>
    <row r="193" spans="2:12" ht="15" x14ac:dyDescent="0.25">
      <c r="B193" t="s">
        <v>206</v>
      </c>
      <c r="C193" t="s">
        <v>207</v>
      </c>
      <c r="D193" t="str">
        <f>HYPERLINK("https://rhld.insurance.arkansas.gov/NPILookup?Npi=1558918722","1558918722")</f>
        <v>1558918722</v>
      </c>
      <c r="E193" t="s">
        <v>273</v>
      </c>
      <c r="F193" t="s">
        <v>12</v>
      </c>
      <c r="G193" s="20">
        <v>1</v>
      </c>
      <c r="H193" t="s">
        <v>211</v>
      </c>
      <c r="I193" t="s">
        <v>4357</v>
      </c>
      <c r="J193" s="9"/>
      <c r="K193" s="9"/>
      <c r="L193" s="9"/>
    </row>
    <row r="194" spans="2:12" ht="15" x14ac:dyDescent="0.25">
      <c r="B194" t="s">
        <v>206</v>
      </c>
      <c r="C194" t="s">
        <v>207</v>
      </c>
      <c r="D194" t="str">
        <f>HYPERLINK("https://rhld.insurance.arkansas.gov/NPILookup?Npi=1568782274","1568782274")</f>
        <v>1568782274</v>
      </c>
      <c r="E194" t="s">
        <v>274</v>
      </c>
      <c r="F194" t="s">
        <v>12</v>
      </c>
      <c r="G194" s="20">
        <v>1</v>
      </c>
      <c r="H194" t="s">
        <v>211</v>
      </c>
      <c r="I194" t="s">
        <v>4357</v>
      </c>
      <c r="J194" s="9"/>
      <c r="K194" s="9"/>
      <c r="L194" s="9"/>
    </row>
    <row r="195" spans="2:12" ht="15" x14ac:dyDescent="0.25">
      <c r="B195" t="s">
        <v>206</v>
      </c>
      <c r="C195" t="s">
        <v>207</v>
      </c>
      <c r="D195" t="str">
        <f>HYPERLINK("https://rhld.insurance.arkansas.gov/NPILookup?Npi=1578213252","1578213252")</f>
        <v>1578213252</v>
      </c>
      <c r="E195" t="s">
        <v>275</v>
      </c>
      <c r="F195" t="s">
        <v>12</v>
      </c>
      <c r="G195" s="20">
        <v>1</v>
      </c>
      <c r="H195" t="s">
        <v>211</v>
      </c>
      <c r="I195" t="s">
        <v>4357</v>
      </c>
      <c r="J195" s="9"/>
      <c r="K195" s="9"/>
      <c r="L195" s="9"/>
    </row>
    <row r="196" spans="2:12" ht="15" x14ac:dyDescent="0.25">
      <c r="B196" t="s">
        <v>206</v>
      </c>
      <c r="C196" t="s">
        <v>207</v>
      </c>
      <c r="D196" t="str">
        <f>HYPERLINK("https://rhld.insurance.arkansas.gov/NPILookup?Npi=1598217069","1598217069")</f>
        <v>1598217069</v>
      </c>
      <c r="E196" t="s">
        <v>282</v>
      </c>
      <c r="F196" t="s">
        <v>13</v>
      </c>
      <c r="G196" s="20">
        <v>2</v>
      </c>
      <c r="H196" t="s">
        <v>219</v>
      </c>
      <c r="I196" t="s">
        <v>4357</v>
      </c>
      <c r="J196" s="9"/>
      <c r="K196" s="9"/>
      <c r="L196" s="9"/>
    </row>
    <row r="197" spans="2:12" ht="15" x14ac:dyDescent="0.25">
      <c r="B197" t="s">
        <v>206</v>
      </c>
      <c r="C197" t="s">
        <v>207</v>
      </c>
      <c r="D197" t="str">
        <f>HYPERLINK("https://rhld.insurance.arkansas.gov/NPILookup?Npi=1578655742","1578655742")</f>
        <v>1578655742</v>
      </c>
      <c r="E197" t="s">
        <v>277</v>
      </c>
      <c r="F197" t="s">
        <v>12</v>
      </c>
      <c r="G197" s="20">
        <v>1</v>
      </c>
      <c r="H197" t="s">
        <v>211</v>
      </c>
      <c r="I197" t="s">
        <v>32</v>
      </c>
      <c r="J197" s="9"/>
      <c r="K197" s="9"/>
      <c r="L197" s="9"/>
    </row>
    <row r="198" spans="2:12" ht="15" x14ac:dyDescent="0.25">
      <c r="B198" t="s">
        <v>206</v>
      </c>
      <c r="C198" t="s">
        <v>207</v>
      </c>
      <c r="D198" t="str">
        <f>HYPERLINK("https://rhld.insurance.arkansas.gov/NPILookup?Npi=1578867636","1578867636")</f>
        <v>1578867636</v>
      </c>
      <c r="E198" t="s">
        <v>278</v>
      </c>
      <c r="F198" t="s">
        <v>12</v>
      </c>
      <c r="G198" s="20">
        <v>1</v>
      </c>
      <c r="H198" t="s">
        <v>211</v>
      </c>
      <c r="I198" t="s">
        <v>4357</v>
      </c>
      <c r="J198" s="9"/>
      <c r="K198" s="9"/>
      <c r="L198" s="9"/>
    </row>
    <row r="199" spans="2:12" ht="15" x14ac:dyDescent="0.25">
      <c r="B199" t="s">
        <v>206</v>
      </c>
      <c r="C199" t="s">
        <v>207</v>
      </c>
      <c r="D199" t="str">
        <f>HYPERLINK("https://rhld.insurance.arkansas.gov/NPILookup?Npi=1588683700","1588683700")</f>
        <v>1588683700</v>
      </c>
      <c r="E199" t="s">
        <v>279</v>
      </c>
      <c r="F199" t="s">
        <v>12</v>
      </c>
      <c r="G199" s="20">
        <v>1</v>
      </c>
      <c r="H199" t="s">
        <v>211</v>
      </c>
      <c r="I199" t="s">
        <v>32</v>
      </c>
      <c r="J199" s="9"/>
      <c r="K199" s="9"/>
      <c r="L199" s="9"/>
    </row>
    <row r="200" spans="2:12" ht="15" x14ac:dyDescent="0.25">
      <c r="B200" t="s">
        <v>206</v>
      </c>
      <c r="C200" t="s">
        <v>207</v>
      </c>
      <c r="D200" t="str">
        <f>HYPERLINK("https://rhld.insurance.arkansas.gov/NPILookup?Npi=1588984843","1588984843")</f>
        <v>1588984843</v>
      </c>
      <c r="E200" t="s">
        <v>280</v>
      </c>
      <c r="F200" t="s">
        <v>12</v>
      </c>
      <c r="G200" s="20">
        <v>1</v>
      </c>
      <c r="H200" t="s">
        <v>211</v>
      </c>
      <c r="I200" t="s">
        <v>32</v>
      </c>
      <c r="J200" s="9"/>
      <c r="K200" s="9"/>
      <c r="L200" s="9"/>
    </row>
    <row r="201" spans="2:12" ht="15" x14ac:dyDescent="0.25">
      <c r="B201" t="s">
        <v>206</v>
      </c>
      <c r="C201" t="s">
        <v>207</v>
      </c>
      <c r="D201" t="str">
        <f>HYPERLINK("https://rhld.insurance.arkansas.gov/NPILookup?Npi=1598128886","1598128886")</f>
        <v>1598128886</v>
      </c>
      <c r="E201" t="s">
        <v>281</v>
      </c>
      <c r="F201" t="s">
        <v>12</v>
      </c>
      <c r="G201" s="20">
        <v>1</v>
      </c>
      <c r="H201" t="s">
        <v>211</v>
      </c>
      <c r="I201" t="s">
        <v>32</v>
      </c>
      <c r="J201" s="9"/>
      <c r="K201" s="9"/>
      <c r="L201" s="9"/>
    </row>
    <row r="202" spans="2:12" ht="15" x14ac:dyDescent="0.25">
      <c r="B202" t="s">
        <v>206</v>
      </c>
      <c r="C202" t="s">
        <v>207</v>
      </c>
      <c r="D202" t="str">
        <f>HYPERLINK("https://rhld.insurance.arkansas.gov/NPILookup?Npi=1609567486","1609567486")</f>
        <v>1609567486</v>
      </c>
      <c r="E202" t="s">
        <v>284</v>
      </c>
      <c r="F202" t="s">
        <v>13</v>
      </c>
      <c r="G202" s="20">
        <v>1</v>
      </c>
      <c r="H202" t="s">
        <v>213</v>
      </c>
      <c r="I202" t="s">
        <v>4357</v>
      </c>
      <c r="J202" s="9"/>
      <c r="K202" s="9"/>
      <c r="L202" s="9"/>
    </row>
    <row r="203" spans="2:12" ht="15" x14ac:dyDescent="0.25">
      <c r="B203" t="s">
        <v>206</v>
      </c>
      <c r="C203" t="s">
        <v>207</v>
      </c>
      <c r="D203" t="str">
        <f>HYPERLINK("https://rhld.insurance.arkansas.gov/NPILookup?Npi=1609191352","1609191352")</f>
        <v>1609191352</v>
      </c>
      <c r="E203" t="s">
        <v>283</v>
      </c>
      <c r="F203" t="s">
        <v>12</v>
      </c>
      <c r="G203" s="20">
        <v>1</v>
      </c>
      <c r="H203" t="s">
        <v>211</v>
      </c>
      <c r="I203" t="s">
        <v>32</v>
      </c>
      <c r="J203" s="9"/>
      <c r="K203" s="9"/>
      <c r="L203" s="9"/>
    </row>
    <row r="204" spans="2:12" ht="15" x14ac:dyDescent="0.25">
      <c r="B204" t="s">
        <v>206</v>
      </c>
      <c r="C204" t="s">
        <v>207</v>
      </c>
      <c r="D204" t="str">
        <f>HYPERLINK("https://rhld.insurance.arkansas.gov/NPILookup?Npi=1619151248","1619151248")</f>
        <v>1619151248</v>
      </c>
      <c r="E204" t="s">
        <v>285</v>
      </c>
      <c r="F204" t="s">
        <v>13</v>
      </c>
      <c r="G204" s="20">
        <v>1</v>
      </c>
      <c r="H204" t="s">
        <v>213</v>
      </c>
      <c r="I204" t="s">
        <v>4357</v>
      </c>
      <c r="J204" s="9"/>
      <c r="K204" s="9"/>
      <c r="L204" s="9"/>
    </row>
    <row r="205" spans="2:12" ht="15" x14ac:dyDescent="0.25">
      <c r="B205" t="s">
        <v>206</v>
      </c>
      <c r="C205" t="s">
        <v>207</v>
      </c>
      <c r="D205" t="str">
        <f>HYPERLINK("https://rhld.insurance.arkansas.gov/NPILookup?Npi=1619866910","1619866910")</f>
        <v>1619866910</v>
      </c>
      <c r="E205" t="s">
        <v>286</v>
      </c>
      <c r="F205" t="s">
        <v>13</v>
      </c>
      <c r="G205" s="20">
        <v>1</v>
      </c>
      <c r="H205" t="s">
        <v>213</v>
      </c>
      <c r="I205" t="s">
        <v>4357</v>
      </c>
      <c r="J205" s="9"/>
      <c r="K205" s="9"/>
      <c r="L205" s="9"/>
    </row>
    <row r="206" spans="2:12" ht="15" x14ac:dyDescent="0.25">
      <c r="B206" t="s">
        <v>206</v>
      </c>
      <c r="C206" t="s">
        <v>207</v>
      </c>
      <c r="D206" t="str">
        <f>HYPERLINK("https://rhld.insurance.arkansas.gov/NPILookup?Npi=1639064454","1639064454")</f>
        <v>1639064454</v>
      </c>
      <c r="E206" t="s">
        <v>288</v>
      </c>
      <c r="F206" t="s">
        <v>13</v>
      </c>
      <c r="G206" s="20">
        <v>1</v>
      </c>
      <c r="H206" t="s">
        <v>213</v>
      </c>
      <c r="I206" t="s">
        <v>4357</v>
      </c>
      <c r="J206" s="9"/>
      <c r="K206" s="9"/>
      <c r="L206" s="9"/>
    </row>
    <row r="207" spans="2:12" ht="15" x14ac:dyDescent="0.25">
      <c r="B207" t="s">
        <v>206</v>
      </c>
      <c r="C207" t="s">
        <v>207</v>
      </c>
      <c r="D207" t="str">
        <f>HYPERLINK("https://rhld.insurance.arkansas.gov/NPILookup?Npi=1629639448","1629639448")</f>
        <v>1629639448</v>
      </c>
      <c r="E207" t="s">
        <v>287</v>
      </c>
      <c r="F207" t="s">
        <v>12</v>
      </c>
      <c r="G207" s="20">
        <v>1</v>
      </c>
      <c r="H207" t="s">
        <v>211</v>
      </c>
      <c r="I207" t="s">
        <v>32</v>
      </c>
      <c r="J207" s="9"/>
      <c r="K207" s="9"/>
      <c r="L207" s="9"/>
    </row>
    <row r="208" spans="2:12" ht="15" x14ac:dyDescent="0.25">
      <c r="B208" t="s">
        <v>206</v>
      </c>
      <c r="C208" t="s">
        <v>207</v>
      </c>
      <c r="D208" t="str">
        <f>HYPERLINK("https://rhld.insurance.arkansas.gov/NPILookup?Npi=1669677506","1669677506")</f>
        <v>1669677506</v>
      </c>
      <c r="E208" t="s">
        <v>292</v>
      </c>
      <c r="F208" t="s">
        <v>13</v>
      </c>
      <c r="G208" s="20">
        <v>1</v>
      </c>
      <c r="H208" t="s">
        <v>213</v>
      </c>
      <c r="I208" t="s">
        <v>32</v>
      </c>
      <c r="J208" s="9"/>
      <c r="K208" s="9"/>
      <c r="L208" s="9"/>
    </row>
    <row r="209" spans="2:12" ht="15" x14ac:dyDescent="0.25">
      <c r="B209" t="s">
        <v>206</v>
      </c>
      <c r="C209" t="s">
        <v>207</v>
      </c>
      <c r="D209" t="str">
        <f>HYPERLINK("https://rhld.insurance.arkansas.gov/NPILookup?Npi=1659028652","1659028652")</f>
        <v>1659028652</v>
      </c>
      <c r="E209" t="s">
        <v>289</v>
      </c>
      <c r="F209" t="s">
        <v>12</v>
      </c>
      <c r="G209" s="20">
        <v>1</v>
      </c>
      <c r="H209" t="s">
        <v>211</v>
      </c>
      <c r="I209" t="s">
        <v>4357</v>
      </c>
      <c r="J209" s="9"/>
      <c r="K209" s="9"/>
      <c r="L209" s="9"/>
    </row>
    <row r="210" spans="2:12" ht="15" x14ac:dyDescent="0.25">
      <c r="B210" t="s">
        <v>206</v>
      </c>
      <c r="C210" t="s">
        <v>207</v>
      </c>
      <c r="D210" t="str">
        <f>HYPERLINK("https://rhld.insurance.arkansas.gov/NPILookup?Npi=1659444602","1659444602")</f>
        <v>1659444602</v>
      </c>
      <c r="E210" t="s">
        <v>290</v>
      </c>
      <c r="F210" t="s">
        <v>12</v>
      </c>
      <c r="G210" s="20">
        <v>1</v>
      </c>
      <c r="H210" t="s">
        <v>211</v>
      </c>
      <c r="I210" t="s">
        <v>4357</v>
      </c>
      <c r="J210" s="9"/>
      <c r="K210" s="9"/>
      <c r="L210" s="9"/>
    </row>
    <row r="211" spans="2:12" ht="15" x14ac:dyDescent="0.25">
      <c r="B211" t="s">
        <v>206</v>
      </c>
      <c r="C211" t="s">
        <v>207</v>
      </c>
      <c r="D211" t="str">
        <f>HYPERLINK("https://rhld.insurance.arkansas.gov/NPILookup?Npi=1659533479","1659533479")</f>
        <v>1659533479</v>
      </c>
      <c r="E211" t="s">
        <v>291</v>
      </c>
      <c r="F211" t="s">
        <v>12</v>
      </c>
      <c r="G211" s="20">
        <v>1</v>
      </c>
      <c r="H211" t="s">
        <v>211</v>
      </c>
      <c r="I211" t="s">
        <v>32</v>
      </c>
      <c r="J211" s="9"/>
      <c r="K211" s="9"/>
      <c r="L211" s="9"/>
    </row>
    <row r="212" spans="2:12" ht="15" x14ac:dyDescent="0.25">
      <c r="B212" t="s">
        <v>206</v>
      </c>
      <c r="C212" t="s">
        <v>207</v>
      </c>
      <c r="D212" t="str">
        <f>HYPERLINK("https://rhld.insurance.arkansas.gov/NPILookup?Npi=1689424509","1689424509")</f>
        <v>1689424509</v>
      </c>
      <c r="E212" t="s">
        <v>293</v>
      </c>
      <c r="F212" t="s">
        <v>13</v>
      </c>
      <c r="G212" s="20">
        <v>2</v>
      </c>
      <c r="H212" t="s">
        <v>219</v>
      </c>
      <c r="I212" t="s">
        <v>4357</v>
      </c>
      <c r="J212" s="9"/>
      <c r="K212" s="9"/>
      <c r="L212" s="9"/>
    </row>
    <row r="213" spans="2:12" ht="15" x14ac:dyDescent="0.25">
      <c r="B213" t="s">
        <v>206</v>
      </c>
      <c r="C213" t="s">
        <v>207</v>
      </c>
      <c r="D213" t="str">
        <f>HYPERLINK("https://rhld.insurance.arkansas.gov/NPILookup?Npi=1689569139","1689569139")</f>
        <v>1689569139</v>
      </c>
      <c r="E213" t="s">
        <v>294</v>
      </c>
      <c r="F213" t="s">
        <v>13</v>
      </c>
      <c r="G213" s="20">
        <v>1</v>
      </c>
      <c r="H213" t="s">
        <v>213</v>
      </c>
      <c r="I213" t="s">
        <v>4357</v>
      </c>
      <c r="J213" s="9"/>
      <c r="K213" s="9"/>
      <c r="L213" s="9"/>
    </row>
    <row r="214" spans="2:12" ht="15" x14ac:dyDescent="0.25">
      <c r="B214" t="s">
        <v>206</v>
      </c>
      <c r="C214" t="s">
        <v>207</v>
      </c>
      <c r="D214" t="str">
        <f>HYPERLINK("https://rhld.insurance.arkansas.gov/NPILookup?Npi=1720816788","1720816788")</f>
        <v>1720816788</v>
      </c>
      <c r="E214" t="s">
        <v>296</v>
      </c>
      <c r="F214" t="s">
        <v>13</v>
      </c>
      <c r="G214" s="20">
        <v>1</v>
      </c>
      <c r="H214" t="s">
        <v>213</v>
      </c>
      <c r="I214" t="s">
        <v>4357</v>
      </c>
      <c r="J214" s="9"/>
      <c r="K214" s="9"/>
      <c r="L214" s="9"/>
    </row>
    <row r="215" spans="2:12" ht="15" x14ac:dyDescent="0.25">
      <c r="B215" t="s">
        <v>206</v>
      </c>
      <c r="C215" t="s">
        <v>207</v>
      </c>
      <c r="D215" t="str">
        <f>HYPERLINK("https://rhld.insurance.arkansas.gov/NPILookup?Npi=1700048345","1700048345")</f>
        <v>1700048345</v>
      </c>
      <c r="E215" t="s">
        <v>295</v>
      </c>
      <c r="F215" t="s">
        <v>12</v>
      </c>
      <c r="G215" s="20">
        <v>1</v>
      </c>
      <c r="H215" t="s">
        <v>225</v>
      </c>
      <c r="I215" t="s">
        <v>4357</v>
      </c>
      <c r="J215" s="9"/>
      <c r="K215" s="9"/>
      <c r="L215" s="9"/>
    </row>
    <row r="216" spans="2:12" ht="15" x14ac:dyDescent="0.25">
      <c r="B216" t="s">
        <v>206</v>
      </c>
      <c r="C216" t="s">
        <v>207</v>
      </c>
      <c r="D216" t="str">
        <f>HYPERLINK("https://rhld.insurance.arkansas.gov/NPILookup?Npi=1750125399","1750125399")</f>
        <v>1750125399</v>
      </c>
      <c r="E216" t="s">
        <v>297</v>
      </c>
      <c r="F216" t="s">
        <v>13</v>
      </c>
      <c r="G216" s="20">
        <v>1</v>
      </c>
      <c r="H216" t="s">
        <v>4357</v>
      </c>
      <c r="I216" t="s">
        <v>4357</v>
      </c>
      <c r="J216" s="9"/>
      <c r="K216" s="9"/>
      <c r="L216" s="9"/>
    </row>
    <row r="217" spans="2:12" ht="15" x14ac:dyDescent="0.25">
      <c r="B217" t="s">
        <v>206</v>
      </c>
      <c r="C217" t="s">
        <v>207</v>
      </c>
      <c r="D217" t="str">
        <f>HYPERLINK("https://rhld.insurance.arkansas.gov/NPILookup?Npi=1760737209","1760737209")</f>
        <v>1760737209</v>
      </c>
      <c r="E217" t="s">
        <v>298</v>
      </c>
      <c r="F217" t="s">
        <v>13</v>
      </c>
      <c r="G217" s="20">
        <v>1</v>
      </c>
      <c r="H217" t="s">
        <v>213</v>
      </c>
      <c r="I217" t="s">
        <v>32</v>
      </c>
      <c r="J217" s="9"/>
      <c r="K217" s="9"/>
      <c r="L217" s="9"/>
    </row>
    <row r="218" spans="2:12" ht="15" x14ac:dyDescent="0.25">
      <c r="B218" t="s">
        <v>206</v>
      </c>
      <c r="C218" t="s">
        <v>207</v>
      </c>
      <c r="D218" t="str">
        <f>HYPERLINK("https://rhld.insurance.arkansas.gov/NPILookup?Npi=1790462653","1790462653")</f>
        <v>1790462653</v>
      </c>
      <c r="E218" t="s">
        <v>299</v>
      </c>
      <c r="F218" t="s">
        <v>13</v>
      </c>
      <c r="G218" s="20">
        <v>2</v>
      </c>
      <c r="H218" t="s">
        <v>219</v>
      </c>
      <c r="I218" t="s">
        <v>4357</v>
      </c>
      <c r="J218" s="9"/>
      <c r="K218" s="9"/>
      <c r="L218" s="9"/>
    </row>
    <row r="219" spans="2:12" ht="15" x14ac:dyDescent="0.25">
      <c r="B219" t="s">
        <v>206</v>
      </c>
      <c r="C219" t="s">
        <v>207</v>
      </c>
      <c r="D219" t="str">
        <f>HYPERLINK("https://rhld.insurance.arkansas.gov/NPILookup?Npi=1790529337","1790529337")</f>
        <v>1790529337</v>
      </c>
      <c r="E219" t="s">
        <v>300</v>
      </c>
      <c r="F219" t="s">
        <v>13</v>
      </c>
      <c r="G219" s="20">
        <v>2</v>
      </c>
      <c r="H219" t="s">
        <v>219</v>
      </c>
      <c r="I219" t="s">
        <v>4357</v>
      </c>
      <c r="J219" s="9"/>
      <c r="K219" s="9"/>
      <c r="L219" s="9"/>
    </row>
    <row r="220" spans="2:12" ht="15" x14ac:dyDescent="0.25">
      <c r="B220" t="s">
        <v>206</v>
      </c>
      <c r="C220" t="s">
        <v>207</v>
      </c>
      <c r="D220" t="str">
        <f>HYPERLINK("https://rhld.insurance.arkansas.gov/NPILookup?Npi=1811474703","1811474703")</f>
        <v>1811474703</v>
      </c>
      <c r="E220" t="s">
        <v>302</v>
      </c>
      <c r="F220" t="s">
        <v>13</v>
      </c>
      <c r="G220" s="20">
        <v>1</v>
      </c>
      <c r="H220" t="s">
        <v>4357</v>
      </c>
      <c r="I220" t="s">
        <v>4357</v>
      </c>
      <c r="J220" s="9"/>
      <c r="K220" s="9"/>
      <c r="L220" s="9"/>
    </row>
    <row r="221" spans="2:12" ht="15" x14ac:dyDescent="0.25">
      <c r="B221" t="s">
        <v>206</v>
      </c>
      <c r="C221" t="s">
        <v>207</v>
      </c>
      <c r="D221" t="str">
        <f>HYPERLINK("https://rhld.insurance.arkansas.gov/NPILookup?Npi=1811154842","1811154842")</f>
        <v>1811154842</v>
      </c>
      <c r="E221" t="s">
        <v>301</v>
      </c>
      <c r="F221" t="s">
        <v>12</v>
      </c>
      <c r="G221" s="20">
        <v>1</v>
      </c>
      <c r="H221" t="s">
        <v>225</v>
      </c>
      <c r="I221" t="s">
        <v>4357</v>
      </c>
      <c r="J221" s="9"/>
      <c r="K221" s="9"/>
      <c r="L221" s="9"/>
    </row>
    <row r="222" spans="2:12" ht="15" x14ac:dyDescent="0.25">
      <c r="B222" t="s">
        <v>206</v>
      </c>
      <c r="C222" t="s">
        <v>207</v>
      </c>
      <c r="D222" t="str">
        <f>HYPERLINK("https://rhld.insurance.arkansas.gov/NPILookup?Npi=1821984402","1821984402")</f>
        <v>1821984402</v>
      </c>
      <c r="E222" t="s">
        <v>303</v>
      </c>
      <c r="F222" t="s">
        <v>13</v>
      </c>
      <c r="G222" s="20">
        <v>1</v>
      </c>
      <c r="H222" t="s">
        <v>213</v>
      </c>
      <c r="I222" t="s">
        <v>4357</v>
      </c>
      <c r="J222" s="9"/>
      <c r="K222" s="9"/>
      <c r="L222" s="9"/>
    </row>
    <row r="223" spans="2:12" ht="15" x14ac:dyDescent="0.25">
      <c r="B223" t="s">
        <v>206</v>
      </c>
      <c r="C223" t="s">
        <v>207</v>
      </c>
      <c r="D223" t="str">
        <f>HYPERLINK("https://rhld.insurance.arkansas.gov/NPILookup?Npi=1831930452","1831930452")</f>
        <v>1831930452</v>
      </c>
      <c r="E223" t="s">
        <v>305</v>
      </c>
      <c r="F223" t="s">
        <v>13</v>
      </c>
      <c r="G223" s="20">
        <v>1</v>
      </c>
      <c r="H223" t="s">
        <v>213</v>
      </c>
      <c r="I223" t="s">
        <v>4357</v>
      </c>
      <c r="J223" s="9"/>
      <c r="K223" s="9"/>
      <c r="L223" s="9"/>
    </row>
    <row r="224" spans="2:12" ht="15" x14ac:dyDescent="0.25">
      <c r="B224" t="s">
        <v>206</v>
      </c>
      <c r="C224" t="s">
        <v>207</v>
      </c>
      <c r="D224" t="str">
        <f>HYPERLINK("https://rhld.insurance.arkansas.gov/NPILookup?Npi=1831694629","1831694629")</f>
        <v>1831694629</v>
      </c>
      <c r="E224" t="s">
        <v>304</v>
      </c>
      <c r="F224" t="s">
        <v>12</v>
      </c>
      <c r="G224" s="20">
        <v>1</v>
      </c>
      <c r="H224" t="s">
        <v>211</v>
      </c>
      <c r="I224" t="s">
        <v>4357</v>
      </c>
      <c r="J224" s="9"/>
      <c r="K224" s="9"/>
      <c r="L224" s="9"/>
    </row>
    <row r="225" spans="2:12" ht="15" x14ac:dyDescent="0.25">
      <c r="B225" t="s">
        <v>206</v>
      </c>
      <c r="C225" t="s">
        <v>207</v>
      </c>
      <c r="D225" t="str">
        <f>HYPERLINK("https://rhld.insurance.arkansas.gov/NPILookup?Npi=1841049236","1841049236")</f>
        <v>1841049236</v>
      </c>
      <c r="E225" t="s">
        <v>306</v>
      </c>
      <c r="F225" t="s">
        <v>13</v>
      </c>
      <c r="G225" s="20">
        <v>2</v>
      </c>
      <c r="H225" t="s">
        <v>219</v>
      </c>
      <c r="I225" t="s">
        <v>4357</v>
      </c>
      <c r="J225" s="9"/>
      <c r="K225" s="9"/>
      <c r="L225" s="9"/>
    </row>
    <row r="226" spans="2:12" ht="15" x14ac:dyDescent="0.25">
      <c r="B226" t="s">
        <v>206</v>
      </c>
      <c r="C226" t="s">
        <v>207</v>
      </c>
      <c r="D226" t="str">
        <f>HYPERLINK("https://rhld.insurance.arkansas.gov/NPILookup?Npi=1861198251","1861198251")</f>
        <v>1861198251</v>
      </c>
      <c r="E226" t="s">
        <v>307</v>
      </c>
      <c r="F226" t="s">
        <v>13</v>
      </c>
      <c r="G226" s="20">
        <v>2</v>
      </c>
      <c r="H226" t="s">
        <v>219</v>
      </c>
      <c r="I226" t="s">
        <v>4357</v>
      </c>
      <c r="J226" s="9"/>
      <c r="K226" s="9"/>
      <c r="L226" s="9"/>
    </row>
    <row r="227" spans="2:12" ht="15" x14ac:dyDescent="0.25">
      <c r="B227" t="s">
        <v>206</v>
      </c>
      <c r="C227" t="s">
        <v>207</v>
      </c>
      <c r="D227" t="str">
        <f>HYPERLINK("https://rhld.insurance.arkansas.gov/NPILookup?Npi=1861242778","1861242778")</f>
        <v>1861242778</v>
      </c>
      <c r="E227" t="s">
        <v>308</v>
      </c>
      <c r="F227" t="s">
        <v>13</v>
      </c>
      <c r="G227" s="20">
        <v>1</v>
      </c>
      <c r="H227" t="s">
        <v>213</v>
      </c>
      <c r="I227" t="s">
        <v>4357</v>
      </c>
      <c r="J227" s="9"/>
      <c r="K227" s="9"/>
      <c r="L227" s="9"/>
    </row>
    <row r="228" spans="2:12" ht="15" x14ac:dyDescent="0.25">
      <c r="B228" t="s">
        <v>206</v>
      </c>
      <c r="C228" t="s">
        <v>207</v>
      </c>
      <c r="D228" t="str">
        <f>HYPERLINK("https://rhld.insurance.arkansas.gov/NPILookup?Npi=1891507737","1891507737")</f>
        <v>1891507737</v>
      </c>
      <c r="E228" t="s">
        <v>312</v>
      </c>
      <c r="F228" t="s">
        <v>13</v>
      </c>
      <c r="G228" s="20">
        <v>1</v>
      </c>
      <c r="H228" t="s">
        <v>213</v>
      </c>
      <c r="I228" t="s">
        <v>4357</v>
      </c>
      <c r="J228" s="9"/>
      <c r="K228" s="9"/>
      <c r="L228" s="9"/>
    </row>
    <row r="229" spans="2:12" ht="15" x14ac:dyDescent="0.25">
      <c r="B229" t="s">
        <v>206</v>
      </c>
      <c r="C229" t="s">
        <v>207</v>
      </c>
      <c r="D229" t="str">
        <f>HYPERLINK("https://rhld.insurance.arkansas.gov/NPILookup?Npi=1861496267","1861496267")</f>
        <v>1861496267</v>
      </c>
      <c r="E229" t="s">
        <v>309</v>
      </c>
      <c r="F229" t="s">
        <v>12</v>
      </c>
      <c r="G229" s="20">
        <v>1</v>
      </c>
      <c r="H229" t="s">
        <v>211</v>
      </c>
      <c r="I229" t="s">
        <v>32</v>
      </c>
      <c r="J229" s="9"/>
      <c r="K229" s="9"/>
      <c r="L229" s="9"/>
    </row>
    <row r="230" spans="2:12" ht="15" x14ac:dyDescent="0.25">
      <c r="B230" t="s">
        <v>206</v>
      </c>
      <c r="C230" t="s">
        <v>207</v>
      </c>
      <c r="D230" t="str">
        <f>HYPERLINK("https://rhld.insurance.arkansas.gov/NPILookup?Npi=1861665515","1861665515")</f>
        <v>1861665515</v>
      </c>
      <c r="E230" t="s">
        <v>310</v>
      </c>
      <c r="F230" t="s">
        <v>12</v>
      </c>
      <c r="G230" s="20">
        <v>1</v>
      </c>
      <c r="H230" t="s">
        <v>211</v>
      </c>
      <c r="I230" t="s">
        <v>32</v>
      </c>
      <c r="J230" s="9"/>
      <c r="K230" s="9"/>
      <c r="L230" s="9"/>
    </row>
    <row r="231" spans="2:12" ht="15" x14ac:dyDescent="0.25">
      <c r="B231" t="s">
        <v>206</v>
      </c>
      <c r="C231" t="s">
        <v>207</v>
      </c>
      <c r="D231" t="str">
        <f>HYPERLINK("https://rhld.insurance.arkansas.gov/NPILookup?Npi=1871046078","1871046078")</f>
        <v>1871046078</v>
      </c>
      <c r="E231" t="s">
        <v>311</v>
      </c>
      <c r="F231" t="s">
        <v>12</v>
      </c>
      <c r="G231" s="20">
        <v>1</v>
      </c>
      <c r="H231" t="s">
        <v>211</v>
      </c>
      <c r="I231" t="s">
        <v>32</v>
      </c>
      <c r="J231" s="9"/>
      <c r="K231" s="9"/>
      <c r="L231" s="9"/>
    </row>
    <row r="232" spans="2:12" ht="15" x14ac:dyDescent="0.25">
      <c r="B232" t="s">
        <v>206</v>
      </c>
      <c r="C232" t="s">
        <v>207</v>
      </c>
      <c r="D232" t="str">
        <f>HYPERLINK("https://rhld.insurance.arkansas.gov/NPILookup?Npi=1902557176","1902557176")</f>
        <v>1902557176</v>
      </c>
      <c r="E232" t="s">
        <v>314</v>
      </c>
      <c r="F232" t="s">
        <v>13</v>
      </c>
      <c r="G232" s="20">
        <v>2</v>
      </c>
      <c r="H232" t="s">
        <v>219</v>
      </c>
      <c r="I232" t="s">
        <v>32</v>
      </c>
      <c r="J232" s="9"/>
      <c r="K232" s="9"/>
      <c r="L232" s="9"/>
    </row>
    <row r="233" spans="2:12" ht="15" x14ac:dyDescent="0.25">
      <c r="B233" t="s">
        <v>206</v>
      </c>
      <c r="C233" t="s">
        <v>207</v>
      </c>
      <c r="D233" t="str">
        <f>HYPERLINK("https://rhld.insurance.arkansas.gov/NPILookup?Npi=1891893582","1891893582")</f>
        <v>1891893582</v>
      </c>
      <c r="E233" t="s">
        <v>313</v>
      </c>
      <c r="F233" t="s">
        <v>12</v>
      </c>
      <c r="G233" s="20">
        <v>1</v>
      </c>
      <c r="H233" t="s">
        <v>211</v>
      </c>
      <c r="I233" t="s">
        <v>32</v>
      </c>
      <c r="J233" s="9"/>
      <c r="K233" s="9"/>
      <c r="L233" s="9"/>
    </row>
    <row r="234" spans="2:12" ht="15" x14ac:dyDescent="0.25">
      <c r="B234" t="s">
        <v>206</v>
      </c>
      <c r="C234" t="s">
        <v>207</v>
      </c>
      <c r="D234" t="str">
        <f>HYPERLINK("https://rhld.insurance.arkansas.gov/NPILookup?Npi=1912900390","1912900390")</f>
        <v>1912900390</v>
      </c>
      <c r="E234" t="s">
        <v>315</v>
      </c>
      <c r="F234" t="s">
        <v>13</v>
      </c>
      <c r="G234" s="20">
        <v>1</v>
      </c>
      <c r="H234" t="s">
        <v>213</v>
      </c>
      <c r="I234" t="s">
        <v>4357</v>
      </c>
      <c r="J234" s="9"/>
      <c r="K234" s="9"/>
      <c r="L234" s="9"/>
    </row>
    <row r="235" spans="2:12" ht="15" x14ac:dyDescent="0.25">
      <c r="B235" t="s">
        <v>206</v>
      </c>
      <c r="C235" t="s">
        <v>207</v>
      </c>
      <c r="D235" t="str">
        <f>HYPERLINK("https://rhld.insurance.arkansas.gov/NPILookup?Npi=1922799865","1922799865")</f>
        <v>1922799865</v>
      </c>
      <c r="E235" t="s">
        <v>318</v>
      </c>
      <c r="F235" t="s">
        <v>13</v>
      </c>
      <c r="G235" s="20">
        <v>2</v>
      </c>
      <c r="H235" t="s">
        <v>219</v>
      </c>
      <c r="I235" t="s">
        <v>4357</v>
      </c>
      <c r="J235" s="9"/>
      <c r="K235" s="9"/>
      <c r="L235" s="9"/>
    </row>
    <row r="236" spans="2:12" ht="15" x14ac:dyDescent="0.25">
      <c r="B236" t="s">
        <v>206</v>
      </c>
      <c r="C236" t="s">
        <v>207</v>
      </c>
      <c r="D236" t="str">
        <f>HYPERLINK("https://rhld.insurance.arkansas.gov/NPILookup?Npi=1922102300","1922102300")</f>
        <v>1922102300</v>
      </c>
      <c r="E236" t="s">
        <v>316</v>
      </c>
      <c r="F236" t="s">
        <v>12</v>
      </c>
      <c r="G236" s="20">
        <v>1</v>
      </c>
      <c r="H236" t="s">
        <v>211</v>
      </c>
      <c r="I236" t="s">
        <v>32</v>
      </c>
      <c r="J236" s="9"/>
      <c r="K236" s="9"/>
      <c r="L236" s="9"/>
    </row>
    <row r="237" spans="2:12" ht="15" x14ac:dyDescent="0.25">
      <c r="B237" t="s">
        <v>206</v>
      </c>
      <c r="C237" t="s">
        <v>207</v>
      </c>
      <c r="D237" t="str">
        <f>HYPERLINK("https://rhld.insurance.arkansas.gov/NPILookup?Npi=1922193697","1922193697")</f>
        <v>1922193697</v>
      </c>
      <c r="E237" t="s">
        <v>317</v>
      </c>
      <c r="F237" t="s">
        <v>12</v>
      </c>
      <c r="G237" s="20">
        <v>1</v>
      </c>
      <c r="H237" t="s">
        <v>211</v>
      </c>
      <c r="I237" t="s">
        <v>32</v>
      </c>
      <c r="J237" s="9"/>
      <c r="K237" s="9"/>
      <c r="L237" s="9"/>
    </row>
    <row r="238" spans="2:12" ht="15" x14ac:dyDescent="0.25">
      <c r="B238" t="s">
        <v>206</v>
      </c>
      <c r="C238" t="s">
        <v>207</v>
      </c>
      <c r="D238" t="str">
        <f>HYPERLINK("https://rhld.insurance.arkansas.gov/NPILookup?Npi=1932093572","1932093572")</f>
        <v>1932093572</v>
      </c>
      <c r="E238" t="s">
        <v>319</v>
      </c>
      <c r="F238" t="s">
        <v>13</v>
      </c>
      <c r="G238" s="20">
        <v>1</v>
      </c>
      <c r="H238" t="s">
        <v>213</v>
      </c>
      <c r="I238" t="s">
        <v>4357</v>
      </c>
      <c r="J238" s="9"/>
      <c r="K238" s="9"/>
      <c r="L238" s="9"/>
    </row>
    <row r="239" spans="2:12" ht="15" x14ac:dyDescent="0.25">
      <c r="B239" t="s">
        <v>206</v>
      </c>
      <c r="C239" t="s">
        <v>207</v>
      </c>
      <c r="D239" t="str">
        <f>HYPERLINK("https://rhld.insurance.arkansas.gov/NPILookup?Npi=1932890886","1932890886")</f>
        <v>1932890886</v>
      </c>
      <c r="E239" t="s">
        <v>323</v>
      </c>
      <c r="F239" t="s">
        <v>13</v>
      </c>
      <c r="G239" s="20">
        <v>2</v>
      </c>
      <c r="H239" t="s">
        <v>219</v>
      </c>
      <c r="I239" t="s">
        <v>4357</v>
      </c>
      <c r="J239" s="9"/>
      <c r="K239" s="9"/>
      <c r="L239" s="9"/>
    </row>
    <row r="240" spans="2:12" ht="15" x14ac:dyDescent="0.25">
      <c r="B240" t="s">
        <v>206</v>
      </c>
      <c r="C240" t="s">
        <v>207</v>
      </c>
      <c r="D240" t="str">
        <f>HYPERLINK("https://rhld.insurance.arkansas.gov/NPILookup?Npi=1932165248","1932165248")</f>
        <v>1932165248</v>
      </c>
      <c r="E240" t="s">
        <v>320</v>
      </c>
      <c r="F240" t="s">
        <v>12</v>
      </c>
      <c r="G240" s="20">
        <v>1</v>
      </c>
      <c r="H240" t="s">
        <v>211</v>
      </c>
      <c r="I240" t="s">
        <v>32</v>
      </c>
      <c r="J240" s="9"/>
      <c r="K240" s="9"/>
      <c r="L240" s="9"/>
    </row>
    <row r="241" spans="2:12" ht="15" x14ac:dyDescent="0.25">
      <c r="B241" t="s">
        <v>206</v>
      </c>
      <c r="C241" t="s">
        <v>207</v>
      </c>
      <c r="D241" t="str">
        <f>HYPERLINK("https://rhld.insurance.arkansas.gov/NPILookup?Npi=1932166139","1932166139")</f>
        <v>1932166139</v>
      </c>
      <c r="E241" t="s">
        <v>321</v>
      </c>
      <c r="F241" t="s">
        <v>12</v>
      </c>
      <c r="G241" s="20">
        <v>1</v>
      </c>
      <c r="H241" t="s">
        <v>211</v>
      </c>
      <c r="I241" t="s">
        <v>32</v>
      </c>
      <c r="J241" s="9"/>
      <c r="K241" s="9"/>
      <c r="L241" s="9"/>
    </row>
    <row r="242" spans="2:12" ht="15" x14ac:dyDescent="0.25">
      <c r="B242" t="s">
        <v>206</v>
      </c>
      <c r="C242" t="s">
        <v>207</v>
      </c>
      <c r="D242" t="str">
        <f>HYPERLINK("https://rhld.insurance.arkansas.gov/NPILookup?Npi=1932859105","1932859105")</f>
        <v>1932859105</v>
      </c>
      <c r="E242" t="s">
        <v>322</v>
      </c>
      <c r="F242" t="s">
        <v>12</v>
      </c>
      <c r="G242" s="20">
        <v>1</v>
      </c>
      <c r="H242" t="s">
        <v>211</v>
      </c>
      <c r="I242" t="s">
        <v>4357</v>
      </c>
      <c r="J242" s="9"/>
      <c r="K242" s="9"/>
      <c r="L242" s="9"/>
    </row>
    <row r="243" spans="2:12" ht="15" x14ac:dyDescent="0.25">
      <c r="B243" t="s">
        <v>206</v>
      </c>
      <c r="C243" t="s">
        <v>207</v>
      </c>
      <c r="D243" t="str">
        <f>HYPERLINK("https://rhld.insurance.arkansas.gov/NPILookup?Npi=1992362784","1992362784")</f>
        <v>1992362784</v>
      </c>
      <c r="E243" t="s">
        <v>332</v>
      </c>
      <c r="F243" t="s">
        <v>13</v>
      </c>
      <c r="G243" s="20">
        <v>1</v>
      </c>
      <c r="H243" t="s">
        <v>213</v>
      </c>
      <c r="I243" t="s">
        <v>4357</v>
      </c>
      <c r="J243" s="9"/>
      <c r="K243" s="9"/>
      <c r="L243" s="9"/>
    </row>
    <row r="244" spans="2:12" ht="15" x14ac:dyDescent="0.25">
      <c r="B244" t="s">
        <v>206</v>
      </c>
      <c r="C244" t="s">
        <v>207</v>
      </c>
      <c r="D244" t="str">
        <f>HYPERLINK("https://rhld.insurance.arkansas.gov/NPILookup?Npi=1942312228","1942312228")</f>
        <v>1942312228</v>
      </c>
      <c r="E244" t="s">
        <v>324</v>
      </c>
      <c r="F244" t="s">
        <v>12</v>
      </c>
      <c r="G244" s="20">
        <v>1</v>
      </c>
      <c r="H244" t="s">
        <v>211</v>
      </c>
      <c r="I244" t="s">
        <v>32</v>
      </c>
      <c r="J244" s="9"/>
      <c r="K244" s="9"/>
      <c r="L244" s="9"/>
    </row>
    <row r="245" spans="2:12" ht="15" x14ac:dyDescent="0.25">
      <c r="B245" t="s">
        <v>206</v>
      </c>
      <c r="C245" t="s">
        <v>207</v>
      </c>
      <c r="D245" t="str">
        <f>HYPERLINK("https://rhld.insurance.arkansas.gov/NPILookup?Npi=1942795216","1942795216")</f>
        <v>1942795216</v>
      </c>
      <c r="E245" t="s">
        <v>325</v>
      </c>
      <c r="F245" t="s">
        <v>12</v>
      </c>
      <c r="G245" s="20">
        <v>1</v>
      </c>
      <c r="H245" t="s">
        <v>211</v>
      </c>
      <c r="I245" t="s">
        <v>32</v>
      </c>
      <c r="J245" s="9"/>
      <c r="K245" s="9"/>
      <c r="L245" s="9"/>
    </row>
    <row r="246" spans="2:12" ht="15" x14ac:dyDescent="0.25">
      <c r="B246" t="s">
        <v>206</v>
      </c>
      <c r="C246" t="s">
        <v>207</v>
      </c>
      <c r="D246" t="str">
        <f>HYPERLINK("https://rhld.insurance.arkansas.gov/NPILookup?Npi=1952411019","1952411019")</f>
        <v>1952411019</v>
      </c>
      <c r="E246" t="s">
        <v>326</v>
      </c>
      <c r="F246" t="s">
        <v>12</v>
      </c>
      <c r="G246" s="20">
        <v>1</v>
      </c>
      <c r="H246" t="s">
        <v>211</v>
      </c>
      <c r="I246" t="s">
        <v>32</v>
      </c>
      <c r="J246" s="9"/>
      <c r="K246" s="9"/>
      <c r="L246" s="9"/>
    </row>
    <row r="247" spans="2:12" ht="15" x14ac:dyDescent="0.25">
      <c r="B247" t="s">
        <v>206</v>
      </c>
      <c r="C247" t="s">
        <v>207</v>
      </c>
      <c r="D247" t="str">
        <f>HYPERLINK("https://rhld.insurance.arkansas.gov/NPILookup?Npi=1952930281","1952930281")</f>
        <v>1952930281</v>
      </c>
      <c r="E247" t="s">
        <v>327</v>
      </c>
      <c r="F247" t="s">
        <v>12</v>
      </c>
      <c r="G247" s="20">
        <v>1</v>
      </c>
      <c r="H247" t="s">
        <v>211</v>
      </c>
      <c r="I247" t="s">
        <v>4357</v>
      </c>
      <c r="J247" s="9"/>
      <c r="K247" s="9"/>
      <c r="L247" s="9"/>
    </row>
    <row r="248" spans="2:12" ht="15" x14ac:dyDescent="0.25">
      <c r="B248" t="s">
        <v>206</v>
      </c>
      <c r="C248" t="s">
        <v>207</v>
      </c>
      <c r="D248" t="str">
        <f>HYPERLINK("https://rhld.insurance.arkansas.gov/NPILookup?Npi=1962072314","1962072314")</f>
        <v>1962072314</v>
      </c>
      <c r="E248" t="s">
        <v>328</v>
      </c>
      <c r="F248" t="s">
        <v>12</v>
      </c>
      <c r="G248" s="20">
        <v>1</v>
      </c>
      <c r="H248" t="s">
        <v>211</v>
      </c>
      <c r="I248" t="s">
        <v>4357</v>
      </c>
      <c r="J248" s="9"/>
      <c r="K248" s="9"/>
      <c r="L248" s="9"/>
    </row>
    <row r="249" spans="2:12" ht="15" x14ac:dyDescent="0.25">
      <c r="B249" t="s">
        <v>206</v>
      </c>
      <c r="C249" t="s">
        <v>207</v>
      </c>
      <c r="D249" t="str">
        <f>HYPERLINK("https://rhld.insurance.arkansas.gov/NPILookup?Npi=1972005908","1972005908")</f>
        <v>1972005908</v>
      </c>
      <c r="E249" t="s">
        <v>329</v>
      </c>
      <c r="F249" t="s">
        <v>12</v>
      </c>
      <c r="G249" s="20">
        <v>1</v>
      </c>
      <c r="H249" t="s">
        <v>211</v>
      </c>
      <c r="I249" t="s">
        <v>4357</v>
      </c>
      <c r="J249" s="9"/>
      <c r="K249" s="23"/>
      <c r="L249" s="9"/>
    </row>
    <row r="250" spans="2:12" ht="15" x14ac:dyDescent="0.25">
      <c r="B250" t="s">
        <v>206</v>
      </c>
      <c r="C250" t="s">
        <v>207</v>
      </c>
      <c r="D250" t="str">
        <f>HYPERLINK("https://rhld.insurance.arkansas.gov/NPILookup?Npi=1972597276","1972597276")</f>
        <v>1972597276</v>
      </c>
      <c r="E250" t="s">
        <v>330</v>
      </c>
      <c r="F250" t="s">
        <v>12</v>
      </c>
      <c r="G250" s="20">
        <v>1</v>
      </c>
      <c r="H250" t="s">
        <v>211</v>
      </c>
      <c r="I250" t="s">
        <v>4357</v>
      </c>
      <c r="J250" s="9"/>
      <c r="K250" s="23"/>
      <c r="L250" s="9"/>
    </row>
    <row r="251" spans="2:12" ht="15" x14ac:dyDescent="0.25">
      <c r="B251" t="s">
        <v>206</v>
      </c>
      <c r="C251" t="s">
        <v>207</v>
      </c>
      <c r="D251" t="str">
        <f>HYPERLINK("https://rhld.insurance.arkansas.gov/NPILookup?Npi=1982756391","1982756391")</f>
        <v>1982756391</v>
      </c>
      <c r="E251" t="s">
        <v>331</v>
      </c>
      <c r="F251" t="s">
        <v>12</v>
      </c>
      <c r="G251" s="20">
        <v>1</v>
      </c>
      <c r="H251" t="s">
        <v>211</v>
      </c>
      <c r="I251" t="s">
        <v>4357</v>
      </c>
      <c r="J251" s="9"/>
      <c r="K251" s="23"/>
      <c r="L251" s="9"/>
    </row>
    <row r="252" spans="2:12" ht="15" x14ac:dyDescent="0.25">
      <c r="B252" t="s">
        <v>347</v>
      </c>
      <c r="C252" t="s">
        <v>348</v>
      </c>
      <c r="D252" t="str">
        <f>HYPERLINK("https://rhld.insurance.arkansas.gov/NPILookup?Npi=1013075977","1013075977")</f>
        <v>1013075977</v>
      </c>
      <c r="E252" t="s">
        <v>355</v>
      </c>
      <c r="F252" t="s">
        <v>13</v>
      </c>
      <c r="G252" s="20">
        <v>1</v>
      </c>
      <c r="H252" t="s">
        <v>87</v>
      </c>
      <c r="I252" t="s">
        <v>4357</v>
      </c>
      <c r="J252" s="9"/>
      <c r="K252" s="23"/>
      <c r="L252" s="9"/>
    </row>
    <row r="253" spans="2:12" ht="15" x14ac:dyDescent="0.25">
      <c r="B253" t="s">
        <v>333</v>
      </c>
      <c r="C253" s="21" t="s">
        <v>334</v>
      </c>
      <c r="D253" s="21" t="str">
        <f>HYPERLINK("https://rhld.insurance.arkansas.gov/NPILookup?Npi=1013904176","1013904176")</f>
        <v>1013904176</v>
      </c>
      <c r="E253" s="21" t="s">
        <v>335</v>
      </c>
      <c r="F253" s="21" t="s">
        <v>12</v>
      </c>
      <c r="G253" s="22">
        <v>1</v>
      </c>
      <c r="H253" s="21" t="s">
        <v>141</v>
      </c>
      <c r="I253" s="21" t="s">
        <v>32</v>
      </c>
      <c r="J253" s="9"/>
      <c r="K253" s="23"/>
      <c r="L253" s="9"/>
    </row>
    <row r="254" spans="2:12" ht="15" x14ac:dyDescent="0.25">
      <c r="B254" t="s">
        <v>333</v>
      </c>
      <c r="C254" s="21" t="s">
        <v>334</v>
      </c>
      <c r="D254" s="21" t="str">
        <f>HYPERLINK("https://rhld.insurance.arkansas.gov/NPILookup?Npi=1134474661","1134474661")</f>
        <v>1134474661</v>
      </c>
      <c r="E254" s="21" t="s">
        <v>336</v>
      </c>
      <c r="F254" s="21" t="s">
        <v>12</v>
      </c>
      <c r="G254" s="22">
        <v>1</v>
      </c>
      <c r="H254" s="21" t="s">
        <v>4338</v>
      </c>
      <c r="I254" s="21" t="s">
        <v>32</v>
      </c>
      <c r="J254" s="9"/>
      <c r="K254" s="23"/>
      <c r="L254" s="9"/>
    </row>
    <row r="255" spans="2:12" ht="15" x14ac:dyDescent="0.25">
      <c r="B255" t="s">
        <v>333</v>
      </c>
      <c r="C255" s="21" t="s">
        <v>334</v>
      </c>
      <c r="D255" s="21" t="str">
        <f>HYPERLINK("https://rhld.insurance.arkansas.gov/NPILookup?Npi=1164534491","1164534491")</f>
        <v>1164534491</v>
      </c>
      <c r="E255" s="21" t="s">
        <v>337</v>
      </c>
      <c r="F255" s="21" t="s">
        <v>12</v>
      </c>
      <c r="G255" s="22">
        <v>1</v>
      </c>
      <c r="H255" s="21" t="s">
        <v>4338</v>
      </c>
      <c r="I255" s="21" t="s">
        <v>32</v>
      </c>
      <c r="J255" s="9"/>
      <c r="K255" s="23"/>
      <c r="L255" s="9"/>
    </row>
    <row r="256" spans="2:12" ht="15" x14ac:dyDescent="0.25">
      <c r="B256" t="s">
        <v>333</v>
      </c>
      <c r="C256" s="21" t="s">
        <v>334</v>
      </c>
      <c r="D256" s="21" t="str">
        <f>HYPERLINK("https://rhld.insurance.arkansas.gov/NPILookup?Npi=1164675518","1164675518")</f>
        <v>1164675518</v>
      </c>
      <c r="E256" s="21" t="s">
        <v>338</v>
      </c>
      <c r="F256" s="21" t="s">
        <v>12</v>
      </c>
      <c r="G256" s="22">
        <v>1</v>
      </c>
      <c r="H256" s="21" t="s">
        <v>4338</v>
      </c>
      <c r="I256" s="21" t="s">
        <v>32</v>
      </c>
      <c r="J256" s="9"/>
      <c r="K256" s="23"/>
      <c r="L256" s="9"/>
    </row>
    <row r="257" spans="2:12" ht="15" x14ac:dyDescent="0.25">
      <c r="B257" t="s">
        <v>333</v>
      </c>
      <c r="C257" s="21" t="s">
        <v>334</v>
      </c>
      <c r="D257" s="21" t="str">
        <f>HYPERLINK("https://rhld.insurance.arkansas.gov/NPILookup?Npi=1184292880","1184292880")</f>
        <v>1184292880</v>
      </c>
      <c r="E257" s="21" t="s">
        <v>339</v>
      </c>
      <c r="F257" s="21" t="s">
        <v>12</v>
      </c>
      <c r="G257" s="22">
        <v>1</v>
      </c>
      <c r="H257" s="21" t="s">
        <v>4338</v>
      </c>
      <c r="I257" s="21" t="s">
        <v>32</v>
      </c>
      <c r="J257" s="9"/>
      <c r="K257" s="23"/>
      <c r="L257" s="9"/>
    </row>
    <row r="258" spans="2:12" ht="15" x14ac:dyDescent="0.25">
      <c r="B258" t="s">
        <v>333</v>
      </c>
      <c r="C258" s="21" t="s">
        <v>334</v>
      </c>
      <c r="D258" s="21" t="str">
        <f>HYPERLINK("https://rhld.insurance.arkansas.gov/NPILookup?Npi=1295007342","1295007342")</f>
        <v>1295007342</v>
      </c>
      <c r="E258" s="21" t="s">
        <v>340</v>
      </c>
      <c r="F258" s="21" t="s">
        <v>12</v>
      </c>
      <c r="G258" s="22">
        <v>1</v>
      </c>
      <c r="H258" s="21" t="s">
        <v>4338</v>
      </c>
      <c r="I258" s="21" t="s">
        <v>32</v>
      </c>
      <c r="J258" s="9"/>
      <c r="K258" s="23"/>
      <c r="L258" s="9"/>
    </row>
    <row r="259" spans="2:12" ht="15" x14ac:dyDescent="0.25">
      <c r="B259" t="s">
        <v>333</v>
      </c>
      <c r="C259" s="21" t="s">
        <v>334</v>
      </c>
      <c r="D259" s="21" t="str">
        <f>HYPERLINK("https://rhld.insurance.arkansas.gov/NPILookup?Npi=1346213311","1346213311")</f>
        <v>1346213311</v>
      </c>
      <c r="E259" s="21" t="s">
        <v>341</v>
      </c>
      <c r="F259" s="21" t="s">
        <v>12</v>
      </c>
      <c r="G259" s="22">
        <v>1</v>
      </c>
      <c r="H259" s="21" t="s">
        <v>4338</v>
      </c>
      <c r="I259" s="21" t="s">
        <v>32</v>
      </c>
      <c r="J259" s="9"/>
      <c r="K259" s="23"/>
      <c r="L259" s="9"/>
    </row>
    <row r="260" spans="2:12" ht="15" x14ac:dyDescent="0.25">
      <c r="B260" t="s">
        <v>333</v>
      </c>
      <c r="C260" s="21" t="s">
        <v>334</v>
      </c>
      <c r="D260" s="21" t="str">
        <f>HYPERLINK("https://rhld.insurance.arkansas.gov/NPILookup?Npi=1427109552","1427109552")</f>
        <v>1427109552</v>
      </c>
      <c r="E260" s="21" t="s">
        <v>342</v>
      </c>
      <c r="F260" s="21" t="s">
        <v>12</v>
      </c>
      <c r="G260" s="22">
        <v>1</v>
      </c>
      <c r="H260" s="21" t="s">
        <v>4338</v>
      </c>
      <c r="I260" s="21" t="s">
        <v>32</v>
      </c>
      <c r="J260" s="9"/>
      <c r="K260" s="23"/>
      <c r="L260" s="9"/>
    </row>
    <row r="261" spans="2:12" ht="15" x14ac:dyDescent="0.25">
      <c r="B261" t="s">
        <v>333</v>
      </c>
      <c r="C261" s="21" t="s">
        <v>334</v>
      </c>
      <c r="D261" s="21" t="str">
        <f>HYPERLINK("https://rhld.insurance.arkansas.gov/NPILookup?Npi=1467654715","1467654715")</f>
        <v>1467654715</v>
      </c>
      <c r="E261" s="21" t="s">
        <v>343</v>
      </c>
      <c r="F261" s="21" t="s">
        <v>12</v>
      </c>
      <c r="G261" s="22">
        <v>1</v>
      </c>
      <c r="H261" s="21" t="s">
        <v>4338</v>
      </c>
      <c r="I261" s="21" t="s">
        <v>4357</v>
      </c>
      <c r="J261" s="9"/>
      <c r="K261" s="9"/>
      <c r="L261" s="9"/>
    </row>
    <row r="262" spans="2:12" ht="15" x14ac:dyDescent="0.25">
      <c r="B262" t="s">
        <v>333</v>
      </c>
      <c r="C262" s="21" t="s">
        <v>334</v>
      </c>
      <c r="D262" s="21" t="str">
        <f>HYPERLINK("https://rhld.insurance.arkansas.gov/NPILookup?Npi=1952555666","1952555666")</f>
        <v>1952555666</v>
      </c>
      <c r="E262" s="21" t="s">
        <v>344</v>
      </c>
      <c r="F262" s="21" t="s">
        <v>12</v>
      </c>
      <c r="G262" s="22">
        <v>1</v>
      </c>
      <c r="H262" s="21" t="s">
        <v>4338</v>
      </c>
      <c r="I262" s="21" t="s">
        <v>32</v>
      </c>
      <c r="J262" s="9"/>
      <c r="K262" s="9"/>
      <c r="L262" s="9"/>
    </row>
    <row r="263" spans="2:12" ht="15" x14ac:dyDescent="0.25">
      <c r="B263" t="s">
        <v>333</v>
      </c>
      <c r="C263" s="21" t="s">
        <v>334</v>
      </c>
      <c r="D263" s="21" t="str">
        <f>HYPERLINK("https://rhld.insurance.arkansas.gov/NPILookup?Npi=1962862557","1962862557")</f>
        <v>1962862557</v>
      </c>
      <c r="E263" s="21" t="s">
        <v>345</v>
      </c>
      <c r="F263" s="21" t="s">
        <v>12</v>
      </c>
      <c r="G263" s="22">
        <v>1</v>
      </c>
      <c r="H263" s="21" t="s">
        <v>4338</v>
      </c>
      <c r="I263" s="21" t="s">
        <v>32</v>
      </c>
      <c r="J263" s="9"/>
      <c r="K263" s="9"/>
      <c r="L263" s="9"/>
    </row>
    <row r="264" spans="2:12" ht="15" x14ac:dyDescent="0.25">
      <c r="B264" t="s">
        <v>333</v>
      </c>
      <c r="C264" s="21" t="s">
        <v>334</v>
      </c>
      <c r="D264" s="21" t="str">
        <f>HYPERLINK("https://rhld.insurance.arkansas.gov/NPILookup?Npi=1972838621","1972838621")</f>
        <v>1972838621</v>
      </c>
      <c r="E264" s="21" t="s">
        <v>346</v>
      </c>
      <c r="F264" s="21" t="s">
        <v>12</v>
      </c>
      <c r="G264" s="22">
        <v>1</v>
      </c>
      <c r="H264" s="21" t="s">
        <v>4338</v>
      </c>
      <c r="I264" s="21" t="s">
        <v>32</v>
      </c>
      <c r="J264" s="9"/>
      <c r="K264" s="9"/>
      <c r="L264" s="9"/>
    </row>
    <row r="265" spans="2:12" ht="15" x14ac:dyDescent="0.25">
      <c r="B265" t="s">
        <v>347</v>
      </c>
      <c r="C265" t="s">
        <v>348</v>
      </c>
      <c r="D265" t="str">
        <f>HYPERLINK("https://rhld.insurance.arkansas.gov/NPILookup?Npi=1003066846","1003066846")</f>
        <v>1003066846</v>
      </c>
      <c r="E265" t="s">
        <v>349</v>
      </c>
      <c r="F265" t="s">
        <v>12</v>
      </c>
      <c r="G265" s="20">
        <v>1</v>
      </c>
      <c r="H265" t="s">
        <v>4338</v>
      </c>
      <c r="I265" t="s">
        <v>32</v>
      </c>
      <c r="J265" s="9"/>
      <c r="K265" s="9"/>
      <c r="L265" s="9"/>
    </row>
    <row r="266" spans="2:12" ht="15" x14ac:dyDescent="0.25">
      <c r="B266" t="s">
        <v>347</v>
      </c>
      <c r="C266" t="s">
        <v>348</v>
      </c>
      <c r="D266" t="str">
        <f>HYPERLINK("https://rhld.insurance.arkansas.gov/NPILookup?Npi=1003227166","1003227166")</f>
        <v>1003227166</v>
      </c>
      <c r="E266" t="s">
        <v>350</v>
      </c>
      <c r="F266" t="s">
        <v>12</v>
      </c>
      <c r="G266" s="20">
        <v>1</v>
      </c>
      <c r="H266" t="s">
        <v>4338</v>
      </c>
      <c r="I266" t="s">
        <v>32</v>
      </c>
      <c r="J266" s="9"/>
      <c r="K266" s="9"/>
      <c r="L266" s="9"/>
    </row>
    <row r="267" spans="2:12" ht="15" x14ac:dyDescent="0.25">
      <c r="B267" t="s">
        <v>347</v>
      </c>
      <c r="C267" t="s">
        <v>348</v>
      </c>
      <c r="D267" t="str">
        <f>HYPERLINK("https://rhld.insurance.arkansas.gov/NPILookup?Npi=1003802828","1003802828")</f>
        <v>1003802828</v>
      </c>
      <c r="E267" t="s">
        <v>352</v>
      </c>
      <c r="F267" t="s">
        <v>12</v>
      </c>
      <c r="G267" s="20">
        <v>1</v>
      </c>
      <c r="H267" t="s">
        <v>4338</v>
      </c>
      <c r="I267" t="s">
        <v>32</v>
      </c>
      <c r="J267" s="9"/>
      <c r="K267" s="9"/>
      <c r="L267" s="9"/>
    </row>
    <row r="268" spans="2:12" ht="15" x14ac:dyDescent="0.25">
      <c r="B268" t="s">
        <v>347</v>
      </c>
      <c r="C268" t="s">
        <v>348</v>
      </c>
      <c r="D268" t="str">
        <f>HYPERLINK("https://rhld.insurance.arkansas.gov/NPILookup?Npi=1003875501","1003875501")</f>
        <v>1003875501</v>
      </c>
      <c r="E268" t="s">
        <v>353</v>
      </c>
      <c r="F268" t="s">
        <v>12</v>
      </c>
      <c r="G268" s="20">
        <v>1</v>
      </c>
      <c r="H268" t="s">
        <v>4338</v>
      </c>
      <c r="I268" t="s">
        <v>32</v>
      </c>
      <c r="J268" s="9"/>
      <c r="K268" s="9"/>
      <c r="L268" s="9"/>
    </row>
    <row r="269" spans="2:12" ht="15" x14ac:dyDescent="0.25">
      <c r="B269" t="s">
        <v>347</v>
      </c>
      <c r="C269" t="s">
        <v>348</v>
      </c>
      <c r="D269" t="str">
        <f>HYPERLINK("https://rhld.insurance.arkansas.gov/NPILookup?Npi=1003963208","1003963208")</f>
        <v>1003963208</v>
      </c>
      <c r="E269" t="s">
        <v>354</v>
      </c>
      <c r="F269" t="s">
        <v>12</v>
      </c>
      <c r="G269" s="20">
        <v>1</v>
      </c>
      <c r="H269" t="s">
        <v>4338</v>
      </c>
      <c r="I269" t="s">
        <v>32</v>
      </c>
      <c r="J269" s="9"/>
      <c r="K269" s="9"/>
      <c r="L269" s="9"/>
    </row>
    <row r="270" spans="2:12" ht="15" x14ac:dyDescent="0.25">
      <c r="B270" t="s">
        <v>347</v>
      </c>
      <c r="C270" t="s">
        <v>348</v>
      </c>
      <c r="D270" t="str">
        <f>HYPERLINK("https://rhld.insurance.arkansas.gov/NPILookup?Npi=1013491224","1013491224")</f>
        <v>1013491224</v>
      </c>
      <c r="E270" t="s">
        <v>360</v>
      </c>
      <c r="F270" t="s">
        <v>13</v>
      </c>
      <c r="G270" s="20">
        <v>1</v>
      </c>
      <c r="H270" t="s">
        <v>4357</v>
      </c>
      <c r="I270" t="s">
        <v>4357</v>
      </c>
      <c r="J270" s="9"/>
      <c r="K270" s="9"/>
      <c r="L270" s="9"/>
    </row>
    <row r="271" spans="2:12" ht="15" x14ac:dyDescent="0.25">
      <c r="B271" t="s">
        <v>347</v>
      </c>
      <c r="C271" t="s">
        <v>348</v>
      </c>
      <c r="D271" t="str">
        <f>HYPERLINK("https://rhld.insurance.arkansas.gov/NPILookup?Npi=1013103449","1013103449")</f>
        <v>1013103449</v>
      </c>
      <c r="E271" t="s">
        <v>356</v>
      </c>
      <c r="F271" t="s">
        <v>12</v>
      </c>
      <c r="G271" s="20">
        <v>1</v>
      </c>
      <c r="H271" t="s">
        <v>4338</v>
      </c>
      <c r="I271" t="s">
        <v>32</v>
      </c>
      <c r="J271" s="9"/>
      <c r="K271" s="9"/>
      <c r="L271" s="9"/>
    </row>
    <row r="272" spans="2:12" ht="15" x14ac:dyDescent="0.25">
      <c r="B272" t="s">
        <v>347</v>
      </c>
      <c r="C272" t="s">
        <v>348</v>
      </c>
      <c r="D272" t="str">
        <f>HYPERLINK("https://rhld.insurance.arkansas.gov/NPILookup?Npi=1013141621","1013141621")</f>
        <v>1013141621</v>
      </c>
      <c r="E272" t="s">
        <v>357</v>
      </c>
      <c r="F272" t="s">
        <v>12</v>
      </c>
      <c r="G272" s="20">
        <v>1</v>
      </c>
      <c r="H272" t="s">
        <v>4338</v>
      </c>
      <c r="I272" t="s">
        <v>32</v>
      </c>
      <c r="J272" s="9"/>
      <c r="K272" s="9"/>
      <c r="L272" s="9"/>
    </row>
    <row r="273" spans="2:12" ht="15" x14ac:dyDescent="0.25">
      <c r="B273" t="s">
        <v>347</v>
      </c>
      <c r="C273" t="s">
        <v>348</v>
      </c>
      <c r="D273" t="str">
        <f>HYPERLINK("https://rhld.insurance.arkansas.gov/NPILookup?Npi=1013148832","1013148832")</f>
        <v>1013148832</v>
      </c>
      <c r="E273" t="s">
        <v>358</v>
      </c>
      <c r="F273" t="s">
        <v>12</v>
      </c>
      <c r="G273" s="20">
        <v>1</v>
      </c>
      <c r="H273" t="s">
        <v>4338</v>
      </c>
      <c r="I273" t="s">
        <v>32</v>
      </c>
      <c r="J273" s="9"/>
      <c r="K273" s="9"/>
      <c r="L273" s="9"/>
    </row>
    <row r="274" spans="2:12" ht="15" x14ac:dyDescent="0.25">
      <c r="B274" t="s">
        <v>347</v>
      </c>
      <c r="C274" t="s">
        <v>348</v>
      </c>
      <c r="D274" t="str">
        <f>HYPERLINK("https://rhld.insurance.arkansas.gov/NPILookup?Npi=1013250182","1013250182")</f>
        <v>1013250182</v>
      </c>
      <c r="E274" t="s">
        <v>359</v>
      </c>
      <c r="F274" t="s">
        <v>12</v>
      </c>
      <c r="G274" s="20">
        <v>1</v>
      </c>
      <c r="H274" t="s">
        <v>4338</v>
      </c>
      <c r="I274" t="s">
        <v>32</v>
      </c>
      <c r="J274" s="9"/>
      <c r="K274" s="9"/>
      <c r="L274" s="9"/>
    </row>
    <row r="275" spans="2:12" ht="15" x14ac:dyDescent="0.25">
      <c r="B275" t="s">
        <v>347</v>
      </c>
      <c r="C275" t="s">
        <v>348</v>
      </c>
      <c r="D275" t="str">
        <f>HYPERLINK("https://rhld.insurance.arkansas.gov/NPILookup?Npi=1013974468","1013974468")</f>
        <v>1013974468</v>
      </c>
      <c r="E275" t="s">
        <v>364</v>
      </c>
      <c r="F275" t="s">
        <v>13</v>
      </c>
      <c r="G275" s="20">
        <v>1</v>
      </c>
      <c r="H275" t="s">
        <v>87</v>
      </c>
      <c r="I275" t="s">
        <v>32</v>
      </c>
      <c r="J275" s="9"/>
      <c r="K275" s="9"/>
      <c r="L275" s="9"/>
    </row>
    <row r="276" spans="2:12" ht="15" x14ac:dyDescent="0.25">
      <c r="B276" t="s">
        <v>347</v>
      </c>
      <c r="C276" t="s">
        <v>348</v>
      </c>
      <c r="D276" t="str">
        <f>HYPERLINK("https://rhld.insurance.arkansas.gov/NPILookup?Npi=1013954320","1013954320")</f>
        <v>1013954320</v>
      </c>
      <c r="E276" t="s">
        <v>361</v>
      </c>
      <c r="F276" t="s">
        <v>12</v>
      </c>
      <c r="G276" s="20">
        <v>1</v>
      </c>
      <c r="H276" t="s">
        <v>4338</v>
      </c>
      <c r="I276" t="s">
        <v>32</v>
      </c>
      <c r="J276" s="9"/>
      <c r="K276" s="9"/>
      <c r="L276" s="9"/>
    </row>
    <row r="277" spans="2:12" ht="15" x14ac:dyDescent="0.25">
      <c r="B277" t="s">
        <v>347</v>
      </c>
      <c r="C277" t="s">
        <v>348</v>
      </c>
      <c r="D277" t="str">
        <f>HYPERLINK("https://rhld.insurance.arkansas.gov/NPILookup?Npi=1013958909","1013958909")</f>
        <v>1013958909</v>
      </c>
      <c r="E277" t="s">
        <v>362</v>
      </c>
      <c r="F277" t="s">
        <v>12</v>
      </c>
      <c r="G277" s="20">
        <v>1</v>
      </c>
      <c r="H277" t="s">
        <v>4338</v>
      </c>
      <c r="I277" t="s">
        <v>32</v>
      </c>
      <c r="J277" s="9"/>
      <c r="K277" s="9"/>
      <c r="L277" s="9"/>
    </row>
    <row r="278" spans="2:12" ht="15" x14ac:dyDescent="0.25">
      <c r="B278" t="s">
        <v>347</v>
      </c>
      <c r="C278" t="s">
        <v>348</v>
      </c>
      <c r="D278" t="str">
        <f>HYPERLINK("https://rhld.insurance.arkansas.gov/NPILookup?Npi=1013967835","1013967835")</f>
        <v>1013967835</v>
      </c>
      <c r="E278" t="s">
        <v>363</v>
      </c>
      <c r="F278" t="s">
        <v>12</v>
      </c>
      <c r="G278" s="20">
        <v>1</v>
      </c>
      <c r="H278" t="s">
        <v>4338</v>
      </c>
      <c r="I278" t="s">
        <v>32</v>
      </c>
      <c r="J278" s="9"/>
      <c r="K278" s="9"/>
      <c r="L278" s="9"/>
    </row>
    <row r="279" spans="2:12" ht="15" x14ac:dyDescent="0.25">
      <c r="B279" t="s">
        <v>347</v>
      </c>
      <c r="C279" t="s">
        <v>348</v>
      </c>
      <c r="D279" t="str">
        <f>HYPERLINK("https://rhld.insurance.arkansas.gov/NPILookup?Npi=1023116373","1023116373")</f>
        <v>1023116373</v>
      </c>
      <c r="E279" t="s">
        <v>369</v>
      </c>
      <c r="F279" t="s">
        <v>13</v>
      </c>
      <c r="G279" s="20">
        <v>1</v>
      </c>
      <c r="H279" t="s">
        <v>87</v>
      </c>
      <c r="I279" t="s">
        <v>4357</v>
      </c>
      <c r="J279" s="9"/>
      <c r="K279" s="9"/>
      <c r="L279" s="9"/>
    </row>
    <row r="280" spans="2:12" ht="15" x14ac:dyDescent="0.25">
      <c r="B280" t="s">
        <v>347</v>
      </c>
      <c r="C280" t="s">
        <v>348</v>
      </c>
      <c r="D280" t="str">
        <f>HYPERLINK("https://rhld.insurance.arkansas.gov/NPILookup?Npi=1023019668","1023019668")</f>
        <v>1023019668</v>
      </c>
      <c r="E280" t="s">
        <v>365</v>
      </c>
      <c r="F280" t="s">
        <v>12</v>
      </c>
      <c r="G280" s="20">
        <v>1</v>
      </c>
      <c r="H280" t="s">
        <v>4338</v>
      </c>
      <c r="I280" t="s">
        <v>4357</v>
      </c>
      <c r="J280" s="9"/>
      <c r="K280" s="9"/>
      <c r="L280" s="9"/>
    </row>
    <row r="281" spans="2:12" ht="15" x14ac:dyDescent="0.25">
      <c r="B281" t="s">
        <v>347</v>
      </c>
      <c r="C281" t="s">
        <v>348</v>
      </c>
      <c r="D281" t="str">
        <f>HYPERLINK("https://rhld.insurance.arkansas.gov/NPILookup?Npi=1023040581","1023040581")</f>
        <v>1023040581</v>
      </c>
      <c r="E281" t="s">
        <v>366</v>
      </c>
      <c r="F281" t="s">
        <v>12</v>
      </c>
      <c r="G281" s="20">
        <v>1</v>
      </c>
      <c r="H281" t="s">
        <v>4338</v>
      </c>
      <c r="I281" t="s">
        <v>32</v>
      </c>
      <c r="J281" s="9"/>
      <c r="K281" s="9"/>
      <c r="L281" s="9"/>
    </row>
    <row r="282" spans="2:12" ht="15" x14ac:dyDescent="0.25">
      <c r="B282" t="s">
        <v>347</v>
      </c>
      <c r="C282" t="s">
        <v>348</v>
      </c>
      <c r="D282" t="str">
        <f>HYPERLINK("https://rhld.insurance.arkansas.gov/NPILookup?Npi=1023072105","1023072105")</f>
        <v>1023072105</v>
      </c>
      <c r="E282" t="s">
        <v>367</v>
      </c>
      <c r="F282" t="s">
        <v>12</v>
      </c>
      <c r="G282" s="20">
        <v>1</v>
      </c>
      <c r="H282" t="s">
        <v>139</v>
      </c>
      <c r="I282" t="s">
        <v>32</v>
      </c>
      <c r="J282" s="9"/>
      <c r="K282" s="9"/>
      <c r="L282" s="9"/>
    </row>
    <row r="283" spans="2:12" ht="15" x14ac:dyDescent="0.25">
      <c r="B283" t="s">
        <v>347</v>
      </c>
      <c r="C283" t="s">
        <v>348</v>
      </c>
      <c r="D283" t="str">
        <f>HYPERLINK("https://rhld.insurance.arkansas.gov/NPILookup?Npi=1023086931","1023086931")</f>
        <v>1023086931</v>
      </c>
      <c r="E283" t="s">
        <v>368</v>
      </c>
      <c r="F283" t="s">
        <v>12</v>
      </c>
      <c r="G283" s="20">
        <v>1</v>
      </c>
      <c r="H283" t="s">
        <v>4338</v>
      </c>
      <c r="I283" t="s">
        <v>32</v>
      </c>
      <c r="J283" s="9"/>
      <c r="K283" s="9"/>
      <c r="L283" s="9"/>
    </row>
    <row r="284" spans="2:12" ht="15" x14ac:dyDescent="0.25">
      <c r="B284" t="s">
        <v>347</v>
      </c>
      <c r="C284" t="s">
        <v>348</v>
      </c>
      <c r="D284" t="str">
        <f>HYPERLINK("https://rhld.insurance.arkansas.gov/NPILookup?Npi=1033258249","1033258249")</f>
        <v>1033258249</v>
      </c>
      <c r="E284" t="s">
        <v>378</v>
      </c>
      <c r="F284" t="s">
        <v>13</v>
      </c>
      <c r="G284" s="20">
        <v>1</v>
      </c>
      <c r="H284" t="s">
        <v>87</v>
      </c>
      <c r="I284" t="s">
        <v>32</v>
      </c>
      <c r="J284" s="9"/>
      <c r="K284" s="9"/>
      <c r="L284" s="9"/>
    </row>
    <row r="285" spans="2:12" ht="15" x14ac:dyDescent="0.25">
      <c r="B285" t="s">
        <v>347</v>
      </c>
      <c r="C285" t="s">
        <v>348</v>
      </c>
      <c r="D285" t="str">
        <f>HYPERLINK("https://rhld.insurance.arkansas.gov/NPILookup?Npi=1023209012","1023209012")</f>
        <v>1023209012</v>
      </c>
      <c r="E285" t="s">
        <v>370</v>
      </c>
      <c r="F285" t="s">
        <v>12</v>
      </c>
      <c r="G285" s="20">
        <v>1</v>
      </c>
      <c r="H285" t="s">
        <v>4338</v>
      </c>
      <c r="I285" t="s">
        <v>32</v>
      </c>
      <c r="J285" s="9"/>
      <c r="K285" s="9"/>
      <c r="L285" s="9"/>
    </row>
    <row r="286" spans="2:12" ht="15" x14ac:dyDescent="0.25">
      <c r="B286" t="s">
        <v>347</v>
      </c>
      <c r="C286" t="s">
        <v>348</v>
      </c>
      <c r="D286" t="str">
        <f>HYPERLINK("https://rhld.insurance.arkansas.gov/NPILookup?Npi=1023214574","1023214574")</f>
        <v>1023214574</v>
      </c>
      <c r="E286" t="s">
        <v>371</v>
      </c>
      <c r="F286" t="s">
        <v>12</v>
      </c>
      <c r="G286" s="20">
        <v>1</v>
      </c>
      <c r="H286" t="s">
        <v>4338</v>
      </c>
      <c r="I286" t="s">
        <v>32</v>
      </c>
      <c r="J286" s="9"/>
      <c r="K286" s="9"/>
      <c r="L286" s="9"/>
    </row>
    <row r="287" spans="2:12" ht="15" x14ac:dyDescent="0.25">
      <c r="B287" t="s">
        <v>347</v>
      </c>
      <c r="C287" t="s">
        <v>348</v>
      </c>
      <c r="D287" t="str">
        <f>HYPERLINK("https://rhld.insurance.arkansas.gov/NPILookup?Npi=1023232287","1023232287")</f>
        <v>1023232287</v>
      </c>
      <c r="E287" t="s">
        <v>372</v>
      </c>
      <c r="F287" t="s">
        <v>12</v>
      </c>
      <c r="G287" s="20">
        <v>1</v>
      </c>
      <c r="H287" t="s">
        <v>4338</v>
      </c>
      <c r="I287" t="s">
        <v>32</v>
      </c>
      <c r="J287" s="9"/>
      <c r="K287" s="9"/>
      <c r="L287" s="9"/>
    </row>
    <row r="288" spans="2:12" ht="15" x14ac:dyDescent="0.25">
      <c r="B288" t="s">
        <v>347</v>
      </c>
      <c r="C288" t="s">
        <v>348</v>
      </c>
      <c r="D288" t="str">
        <f>HYPERLINK("https://rhld.insurance.arkansas.gov/NPILookup?Npi=1023306578","1023306578")</f>
        <v>1023306578</v>
      </c>
      <c r="E288" t="s">
        <v>373</v>
      </c>
      <c r="F288" t="s">
        <v>12</v>
      </c>
      <c r="G288" s="20">
        <v>1</v>
      </c>
      <c r="H288" t="s">
        <v>139</v>
      </c>
      <c r="I288" t="s">
        <v>32</v>
      </c>
      <c r="J288" s="9"/>
      <c r="K288" s="9"/>
      <c r="L288" s="9"/>
    </row>
    <row r="289" spans="2:12" ht="15" x14ac:dyDescent="0.25">
      <c r="B289" t="s">
        <v>347</v>
      </c>
      <c r="C289" t="s">
        <v>348</v>
      </c>
      <c r="D289" t="str">
        <f>HYPERLINK("https://rhld.insurance.arkansas.gov/NPILookup?Npi=1023405198","1023405198")</f>
        <v>1023405198</v>
      </c>
      <c r="E289" t="s">
        <v>374</v>
      </c>
      <c r="F289" t="s">
        <v>12</v>
      </c>
      <c r="G289" s="20">
        <v>1</v>
      </c>
      <c r="H289" t="s">
        <v>4338</v>
      </c>
      <c r="I289" t="s">
        <v>32</v>
      </c>
      <c r="J289" s="9"/>
      <c r="K289" s="9"/>
      <c r="L289" s="9"/>
    </row>
    <row r="290" spans="2:12" ht="15" x14ac:dyDescent="0.25">
      <c r="B290" t="s">
        <v>347</v>
      </c>
      <c r="C290" t="s">
        <v>348</v>
      </c>
      <c r="D290" t="str">
        <f>HYPERLINK("https://rhld.insurance.arkansas.gov/NPILookup?Npi=1033102637","1033102637")</f>
        <v>1033102637</v>
      </c>
      <c r="E290" t="s">
        <v>375</v>
      </c>
      <c r="F290" t="s">
        <v>12</v>
      </c>
      <c r="G290" s="20">
        <v>1</v>
      </c>
      <c r="H290" t="s">
        <v>4338</v>
      </c>
      <c r="I290" t="s">
        <v>32</v>
      </c>
      <c r="J290" s="9"/>
      <c r="K290" s="9"/>
      <c r="L290" s="9"/>
    </row>
    <row r="291" spans="2:12" ht="15" x14ac:dyDescent="0.25">
      <c r="B291" t="s">
        <v>347</v>
      </c>
      <c r="C291" t="s">
        <v>348</v>
      </c>
      <c r="D291" t="str">
        <f>HYPERLINK("https://rhld.insurance.arkansas.gov/NPILookup?Npi=1033160544","1033160544")</f>
        <v>1033160544</v>
      </c>
      <c r="E291" t="s">
        <v>376</v>
      </c>
      <c r="F291" t="s">
        <v>12</v>
      </c>
      <c r="G291" s="20">
        <v>1</v>
      </c>
      <c r="H291" t="s">
        <v>4338</v>
      </c>
      <c r="I291" t="s">
        <v>32</v>
      </c>
      <c r="J291" s="9"/>
      <c r="K291" s="9"/>
      <c r="L291" s="9"/>
    </row>
    <row r="292" spans="2:12" ht="15" x14ac:dyDescent="0.25">
      <c r="B292" t="s">
        <v>347</v>
      </c>
      <c r="C292" t="s">
        <v>348</v>
      </c>
      <c r="D292" t="str">
        <f>HYPERLINK("https://rhld.insurance.arkansas.gov/NPILookup?Npi=1033176250","1033176250")</f>
        <v>1033176250</v>
      </c>
      <c r="E292" t="s">
        <v>377</v>
      </c>
      <c r="F292" t="s">
        <v>12</v>
      </c>
      <c r="G292" s="20">
        <v>1</v>
      </c>
      <c r="H292" t="s">
        <v>4338</v>
      </c>
      <c r="I292" t="s">
        <v>4357</v>
      </c>
      <c r="J292" s="9"/>
      <c r="K292" s="9"/>
      <c r="L292" s="9"/>
    </row>
    <row r="293" spans="2:12" ht="15" x14ac:dyDescent="0.25">
      <c r="B293" t="s">
        <v>347</v>
      </c>
      <c r="C293" t="s">
        <v>348</v>
      </c>
      <c r="D293" t="str">
        <f>HYPERLINK("https://rhld.insurance.arkansas.gov/NPILookup?Npi=1033311980","1033311980")</f>
        <v>1033311980</v>
      </c>
      <c r="E293" t="s">
        <v>381</v>
      </c>
      <c r="F293" t="s">
        <v>13</v>
      </c>
      <c r="G293" s="20">
        <v>1</v>
      </c>
      <c r="H293" t="s">
        <v>87</v>
      </c>
      <c r="I293" t="s">
        <v>32</v>
      </c>
      <c r="J293" s="9"/>
      <c r="K293" s="9"/>
      <c r="L293" s="9"/>
    </row>
    <row r="294" spans="2:12" ht="15" x14ac:dyDescent="0.25">
      <c r="B294" t="s">
        <v>347</v>
      </c>
      <c r="C294" t="s">
        <v>348</v>
      </c>
      <c r="D294" t="str">
        <f>HYPERLINK("https://rhld.insurance.arkansas.gov/NPILookup?Npi=1033283155","1033283155")</f>
        <v>1033283155</v>
      </c>
      <c r="E294" t="s">
        <v>380</v>
      </c>
      <c r="F294" t="s">
        <v>12</v>
      </c>
      <c r="G294" s="20">
        <v>1</v>
      </c>
      <c r="H294" t="s">
        <v>4338</v>
      </c>
      <c r="I294" t="s">
        <v>32</v>
      </c>
      <c r="J294" s="9"/>
      <c r="K294" s="9"/>
      <c r="L294" s="9"/>
    </row>
    <row r="295" spans="2:12" ht="15" x14ac:dyDescent="0.25">
      <c r="B295" t="s">
        <v>347</v>
      </c>
      <c r="C295" t="s">
        <v>348</v>
      </c>
      <c r="D295" t="str">
        <f>HYPERLINK("https://rhld.insurance.arkansas.gov/NPILookup?Npi=1043499437","1043499437")</f>
        <v>1043499437</v>
      </c>
      <c r="E295" t="s">
        <v>384</v>
      </c>
      <c r="F295" t="s">
        <v>13</v>
      </c>
      <c r="G295" s="20">
        <v>1</v>
      </c>
      <c r="H295" t="s">
        <v>87</v>
      </c>
      <c r="I295" t="s">
        <v>4357</v>
      </c>
      <c r="J295" s="9"/>
      <c r="K295" s="9"/>
      <c r="L295" s="9"/>
    </row>
    <row r="296" spans="2:12" ht="15" x14ac:dyDescent="0.25">
      <c r="B296" t="s">
        <v>347</v>
      </c>
      <c r="C296" t="s">
        <v>348</v>
      </c>
      <c r="D296" t="str">
        <f>HYPERLINK("https://rhld.insurance.arkansas.gov/NPILookup?Npi=1033587860","1033587860")</f>
        <v>1033587860</v>
      </c>
      <c r="E296" t="s">
        <v>383</v>
      </c>
      <c r="F296" t="s">
        <v>12</v>
      </c>
      <c r="G296" s="20">
        <v>1</v>
      </c>
      <c r="H296" t="s">
        <v>4338</v>
      </c>
      <c r="I296" t="s">
        <v>32</v>
      </c>
      <c r="J296" s="9"/>
      <c r="K296" s="9"/>
      <c r="L296" s="9"/>
    </row>
    <row r="297" spans="2:12" ht="15" x14ac:dyDescent="0.25">
      <c r="B297" t="s">
        <v>347</v>
      </c>
      <c r="C297" t="s">
        <v>348</v>
      </c>
      <c r="D297" t="str">
        <f>HYPERLINK("https://rhld.insurance.arkansas.gov/NPILookup?Npi=1053493122","1053493122")</f>
        <v>1053493122</v>
      </c>
      <c r="E297" t="s">
        <v>390</v>
      </c>
      <c r="F297" t="s">
        <v>13</v>
      </c>
      <c r="G297" s="20">
        <v>1</v>
      </c>
      <c r="H297" t="s">
        <v>87</v>
      </c>
      <c r="I297" t="s">
        <v>32</v>
      </c>
      <c r="J297" s="9"/>
      <c r="K297" s="9"/>
      <c r="L297" s="9"/>
    </row>
    <row r="298" spans="2:12" ht="15" x14ac:dyDescent="0.25">
      <c r="B298" t="s">
        <v>347</v>
      </c>
      <c r="C298" t="s">
        <v>348</v>
      </c>
      <c r="D298" t="str">
        <f>HYPERLINK("https://rhld.insurance.arkansas.gov/NPILookup?Npi=1043553167","1043553167")</f>
        <v>1043553167</v>
      </c>
      <c r="E298" t="s">
        <v>385</v>
      </c>
      <c r="F298" t="s">
        <v>12</v>
      </c>
      <c r="G298" s="20">
        <v>1</v>
      </c>
      <c r="H298" t="s">
        <v>4338</v>
      </c>
      <c r="I298" t="s">
        <v>32</v>
      </c>
      <c r="J298" s="9"/>
      <c r="K298" s="9"/>
      <c r="L298" s="9"/>
    </row>
    <row r="299" spans="2:12" ht="15" x14ac:dyDescent="0.25">
      <c r="B299" t="s">
        <v>347</v>
      </c>
      <c r="C299" t="s">
        <v>348</v>
      </c>
      <c r="D299" t="str">
        <f>HYPERLINK("https://rhld.insurance.arkansas.gov/NPILookup?Npi=1043878051","1043878051")</f>
        <v>1043878051</v>
      </c>
      <c r="E299" t="s">
        <v>386</v>
      </c>
      <c r="F299" t="s">
        <v>12</v>
      </c>
      <c r="G299" s="20">
        <v>1</v>
      </c>
      <c r="H299" t="s">
        <v>4338</v>
      </c>
      <c r="I299" t="s">
        <v>32</v>
      </c>
      <c r="J299" s="9"/>
      <c r="K299" s="9"/>
      <c r="L299" s="9"/>
    </row>
    <row r="300" spans="2:12" ht="15" x14ac:dyDescent="0.25">
      <c r="B300" t="s">
        <v>347</v>
      </c>
      <c r="C300" t="s">
        <v>348</v>
      </c>
      <c r="D300" t="str">
        <f>HYPERLINK("https://rhld.insurance.arkansas.gov/NPILookup?Npi=1053379149","1053379149")</f>
        <v>1053379149</v>
      </c>
      <c r="E300" t="s">
        <v>387</v>
      </c>
      <c r="F300" t="s">
        <v>12</v>
      </c>
      <c r="G300" s="20">
        <v>1</v>
      </c>
      <c r="H300" t="s">
        <v>139</v>
      </c>
      <c r="I300" t="s">
        <v>4357</v>
      </c>
      <c r="J300" s="9"/>
      <c r="K300" s="9"/>
      <c r="L300" s="9"/>
    </row>
    <row r="301" spans="2:12" ht="15" x14ac:dyDescent="0.25">
      <c r="B301" t="s">
        <v>347</v>
      </c>
      <c r="C301" t="s">
        <v>348</v>
      </c>
      <c r="D301" t="str">
        <f>HYPERLINK("https://rhld.insurance.arkansas.gov/NPILookup?Npi=1053393785","1053393785")</f>
        <v>1053393785</v>
      </c>
      <c r="E301" t="s">
        <v>388</v>
      </c>
      <c r="F301" t="s">
        <v>12</v>
      </c>
      <c r="G301" s="20">
        <v>1</v>
      </c>
      <c r="H301" t="s">
        <v>4338</v>
      </c>
      <c r="I301" t="s">
        <v>32</v>
      </c>
      <c r="J301" s="9"/>
      <c r="K301" s="9"/>
      <c r="L301" s="9"/>
    </row>
    <row r="302" spans="2:12" ht="15" x14ac:dyDescent="0.25">
      <c r="B302" t="s">
        <v>347</v>
      </c>
      <c r="C302" t="s">
        <v>348</v>
      </c>
      <c r="D302" t="str">
        <f>HYPERLINK("https://rhld.insurance.arkansas.gov/NPILookup?Npi=1053411942","1053411942")</f>
        <v>1053411942</v>
      </c>
      <c r="E302" t="s">
        <v>389</v>
      </c>
      <c r="F302" t="s">
        <v>12</v>
      </c>
      <c r="G302" s="20">
        <v>1</v>
      </c>
      <c r="H302" t="s">
        <v>4338</v>
      </c>
      <c r="I302" t="s">
        <v>32</v>
      </c>
      <c r="J302" s="9"/>
      <c r="K302" s="9"/>
      <c r="L302" s="9"/>
    </row>
    <row r="303" spans="2:12" ht="15" x14ac:dyDescent="0.25">
      <c r="B303" t="s">
        <v>347</v>
      </c>
      <c r="C303" t="s">
        <v>348</v>
      </c>
      <c r="D303" t="str">
        <f>HYPERLINK("https://rhld.insurance.arkansas.gov/NPILookup?Npi=1063445500","1063445500")</f>
        <v>1063445500</v>
      </c>
      <c r="E303" t="s">
        <v>394</v>
      </c>
      <c r="F303" t="s">
        <v>13</v>
      </c>
      <c r="G303" s="20">
        <v>1</v>
      </c>
      <c r="H303" t="s">
        <v>87</v>
      </c>
      <c r="I303" t="s">
        <v>4357</v>
      </c>
      <c r="J303" s="9"/>
      <c r="K303" s="9"/>
      <c r="L303" s="9"/>
    </row>
    <row r="304" spans="2:12" ht="15" x14ac:dyDescent="0.25">
      <c r="B304" t="s">
        <v>347</v>
      </c>
      <c r="C304" t="s">
        <v>348</v>
      </c>
      <c r="D304" t="str">
        <f>HYPERLINK("https://rhld.insurance.arkansas.gov/NPILookup?Npi=1053536060","1053536060")</f>
        <v>1053536060</v>
      </c>
      <c r="E304" t="s">
        <v>391</v>
      </c>
      <c r="F304" t="s">
        <v>12</v>
      </c>
      <c r="G304" s="20">
        <v>1</v>
      </c>
      <c r="H304" t="s">
        <v>4338</v>
      </c>
      <c r="I304" t="s">
        <v>32</v>
      </c>
      <c r="J304" s="9"/>
      <c r="K304" s="9"/>
      <c r="L304" s="9"/>
    </row>
    <row r="305" spans="2:12" ht="15" x14ac:dyDescent="0.25">
      <c r="B305" t="s">
        <v>347</v>
      </c>
      <c r="C305" t="s">
        <v>348</v>
      </c>
      <c r="D305" t="str">
        <f>HYPERLINK("https://rhld.insurance.arkansas.gov/NPILookup?Npi=1063408409","1063408409")</f>
        <v>1063408409</v>
      </c>
      <c r="E305" t="s">
        <v>393</v>
      </c>
      <c r="F305" t="s">
        <v>12</v>
      </c>
      <c r="G305" s="20">
        <v>1</v>
      </c>
      <c r="H305" t="s">
        <v>4338</v>
      </c>
      <c r="I305" t="s">
        <v>32</v>
      </c>
      <c r="J305" s="9"/>
      <c r="K305" s="9"/>
      <c r="L305" s="9"/>
    </row>
    <row r="306" spans="2:12" ht="15" x14ac:dyDescent="0.25">
      <c r="B306" t="s">
        <v>347</v>
      </c>
      <c r="C306" t="s">
        <v>348</v>
      </c>
      <c r="D306" t="str">
        <f>HYPERLINK("https://rhld.insurance.arkansas.gov/NPILookup?Npi=1063876357","1063876357")</f>
        <v>1063876357</v>
      </c>
      <c r="E306" t="s">
        <v>402</v>
      </c>
      <c r="F306" t="s">
        <v>13</v>
      </c>
      <c r="G306" s="20">
        <v>1</v>
      </c>
      <c r="H306" t="s">
        <v>4357</v>
      </c>
      <c r="I306" t="s">
        <v>4357</v>
      </c>
      <c r="J306" s="9"/>
      <c r="K306" s="9"/>
      <c r="L306" s="9"/>
    </row>
    <row r="307" spans="2:12" ht="15" x14ac:dyDescent="0.25">
      <c r="B307" t="s">
        <v>347</v>
      </c>
      <c r="C307" t="s">
        <v>348</v>
      </c>
      <c r="D307" t="str">
        <f>HYPERLINK("https://rhld.insurance.arkansas.gov/NPILookup?Npi=1063526606","1063526606")</f>
        <v>1063526606</v>
      </c>
      <c r="E307" t="s">
        <v>395</v>
      </c>
      <c r="F307" t="s">
        <v>12</v>
      </c>
      <c r="G307" s="20">
        <v>1</v>
      </c>
      <c r="H307" t="s">
        <v>139</v>
      </c>
      <c r="I307" t="s">
        <v>32</v>
      </c>
      <c r="J307" s="9"/>
      <c r="K307" s="9"/>
      <c r="L307" s="9"/>
    </row>
    <row r="308" spans="2:12" ht="15" x14ac:dyDescent="0.25">
      <c r="B308" t="s">
        <v>347</v>
      </c>
      <c r="C308" t="s">
        <v>348</v>
      </c>
      <c r="D308" t="str">
        <f>HYPERLINK("https://rhld.insurance.arkansas.gov/NPILookup?Npi=1063526614","1063526614")</f>
        <v>1063526614</v>
      </c>
      <c r="E308" t="s">
        <v>396</v>
      </c>
      <c r="F308" t="s">
        <v>12</v>
      </c>
      <c r="G308" s="20">
        <v>1</v>
      </c>
      <c r="H308" t="s">
        <v>4338</v>
      </c>
      <c r="I308" t="s">
        <v>32</v>
      </c>
      <c r="J308" s="9"/>
      <c r="K308" s="9"/>
      <c r="L308" s="9"/>
    </row>
    <row r="309" spans="2:12" ht="15" x14ac:dyDescent="0.25">
      <c r="B309" t="s">
        <v>347</v>
      </c>
      <c r="C309" t="s">
        <v>348</v>
      </c>
      <c r="D309" t="str">
        <f>HYPERLINK("https://rhld.insurance.arkansas.gov/NPILookup?Npi=1063540615","1063540615")</f>
        <v>1063540615</v>
      </c>
      <c r="E309" t="s">
        <v>397</v>
      </c>
      <c r="F309" t="s">
        <v>12</v>
      </c>
      <c r="G309" s="20">
        <v>1</v>
      </c>
      <c r="H309" t="s">
        <v>139</v>
      </c>
      <c r="I309" t="s">
        <v>32</v>
      </c>
      <c r="J309" s="9"/>
      <c r="K309" s="9"/>
      <c r="L309" s="9"/>
    </row>
    <row r="310" spans="2:12" ht="15" x14ac:dyDescent="0.25">
      <c r="B310" t="s">
        <v>347</v>
      </c>
      <c r="C310" t="s">
        <v>348</v>
      </c>
      <c r="D310" t="str">
        <f>HYPERLINK("https://rhld.insurance.arkansas.gov/NPILookup?Npi=1063585164","1063585164")</f>
        <v>1063585164</v>
      </c>
      <c r="E310" t="s">
        <v>398</v>
      </c>
      <c r="F310" t="s">
        <v>12</v>
      </c>
      <c r="G310" s="20">
        <v>1</v>
      </c>
      <c r="H310" t="s">
        <v>4338</v>
      </c>
      <c r="I310" t="s">
        <v>32</v>
      </c>
      <c r="J310" s="9"/>
      <c r="K310" s="9"/>
      <c r="L310" s="9"/>
    </row>
    <row r="311" spans="2:12" ht="15" x14ac:dyDescent="0.25">
      <c r="B311" t="s">
        <v>347</v>
      </c>
      <c r="C311" t="s">
        <v>348</v>
      </c>
      <c r="D311" t="str">
        <f>HYPERLINK("https://rhld.insurance.arkansas.gov/NPILookup?Npi=1063675650","1063675650")</f>
        <v>1063675650</v>
      </c>
      <c r="E311" t="s">
        <v>399</v>
      </c>
      <c r="F311" t="s">
        <v>12</v>
      </c>
      <c r="G311" s="20">
        <v>1</v>
      </c>
      <c r="H311" t="s">
        <v>4338</v>
      </c>
      <c r="I311" t="s">
        <v>32</v>
      </c>
      <c r="J311" s="9"/>
      <c r="K311" s="9"/>
      <c r="L311" s="9"/>
    </row>
    <row r="312" spans="2:12" ht="15" x14ac:dyDescent="0.25">
      <c r="B312" t="s">
        <v>347</v>
      </c>
      <c r="C312" t="s">
        <v>348</v>
      </c>
      <c r="D312" t="str">
        <f>HYPERLINK("https://rhld.insurance.arkansas.gov/NPILookup?Npi=1063684702","1063684702")</f>
        <v>1063684702</v>
      </c>
      <c r="E312" t="s">
        <v>400</v>
      </c>
      <c r="F312" t="s">
        <v>12</v>
      </c>
      <c r="G312" s="20">
        <v>1</v>
      </c>
      <c r="H312" t="s">
        <v>4338</v>
      </c>
      <c r="I312" t="s">
        <v>32</v>
      </c>
      <c r="J312" s="9"/>
      <c r="K312" s="9"/>
      <c r="L312" s="9"/>
    </row>
    <row r="313" spans="2:12" ht="15" x14ac:dyDescent="0.25">
      <c r="B313" t="s">
        <v>347</v>
      </c>
      <c r="C313" t="s">
        <v>348</v>
      </c>
      <c r="D313" t="str">
        <f>HYPERLINK("https://rhld.insurance.arkansas.gov/NPILookup?Npi=1063855302","1063855302")</f>
        <v>1063855302</v>
      </c>
      <c r="E313" t="s">
        <v>401</v>
      </c>
      <c r="F313" t="s">
        <v>12</v>
      </c>
      <c r="G313" s="20">
        <v>1</v>
      </c>
      <c r="H313" t="s">
        <v>4338</v>
      </c>
      <c r="I313" t="s">
        <v>32</v>
      </c>
      <c r="J313" s="9"/>
      <c r="K313" s="9"/>
      <c r="L313" s="9"/>
    </row>
    <row r="314" spans="2:12" ht="15" x14ac:dyDescent="0.25">
      <c r="B314" t="s">
        <v>347</v>
      </c>
      <c r="C314" t="s">
        <v>348</v>
      </c>
      <c r="D314" t="str">
        <f>HYPERLINK("https://rhld.insurance.arkansas.gov/NPILookup?Npi=1073019758","1073019758")</f>
        <v>1073019758</v>
      </c>
      <c r="E314" t="s">
        <v>404</v>
      </c>
      <c r="F314" t="s">
        <v>13</v>
      </c>
      <c r="G314" s="20">
        <v>1</v>
      </c>
      <c r="H314" t="s">
        <v>87</v>
      </c>
      <c r="I314" t="s">
        <v>32</v>
      </c>
      <c r="J314" s="9"/>
      <c r="K314" s="9"/>
      <c r="L314" s="9"/>
    </row>
    <row r="315" spans="2:12" ht="15" x14ac:dyDescent="0.25">
      <c r="B315" t="s">
        <v>347</v>
      </c>
      <c r="C315" t="s">
        <v>348</v>
      </c>
      <c r="D315" t="str">
        <f>HYPERLINK("https://rhld.insurance.arkansas.gov/NPILookup?Npi=1063892529","1063892529")</f>
        <v>1063892529</v>
      </c>
      <c r="E315" t="s">
        <v>403</v>
      </c>
      <c r="F315" t="s">
        <v>12</v>
      </c>
      <c r="G315" s="20">
        <v>1</v>
      </c>
      <c r="H315" t="s">
        <v>4338</v>
      </c>
      <c r="I315" t="s">
        <v>32</v>
      </c>
      <c r="J315" s="9"/>
      <c r="K315" s="9"/>
      <c r="L315" s="9"/>
    </row>
    <row r="316" spans="2:12" ht="15" x14ac:dyDescent="0.25">
      <c r="B316" t="s">
        <v>347</v>
      </c>
      <c r="C316" t="s">
        <v>348</v>
      </c>
      <c r="D316" t="str">
        <f>HYPERLINK("https://rhld.insurance.arkansas.gov/NPILookup?Npi=1073967246","1073967246")</f>
        <v>1073967246</v>
      </c>
      <c r="E316" t="s">
        <v>411</v>
      </c>
      <c r="F316" t="s">
        <v>13</v>
      </c>
      <c r="G316" s="20">
        <v>1</v>
      </c>
      <c r="H316" t="s">
        <v>4357</v>
      </c>
      <c r="I316" t="s">
        <v>4357</v>
      </c>
      <c r="J316" s="9"/>
      <c r="K316" s="9"/>
      <c r="L316" s="9"/>
    </row>
    <row r="317" spans="2:12" ht="15" x14ac:dyDescent="0.25">
      <c r="B317" t="s">
        <v>347</v>
      </c>
      <c r="C317" t="s">
        <v>348</v>
      </c>
      <c r="D317" t="str">
        <f>HYPERLINK("https://rhld.insurance.arkansas.gov/NPILookup?Npi=1073133179","1073133179")</f>
        <v>1073133179</v>
      </c>
      <c r="E317" t="s">
        <v>405</v>
      </c>
      <c r="F317" t="s">
        <v>12</v>
      </c>
      <c r="G317" s="20">
        <v>1</v>
      </c>
      <c r="H317" t="s">
        <v>139</v>
      </c>
      <c r="I317" t="s">
        <v>32</v>
      </c>
      <c r="J317" s="9"/>
      <c r="K317" s="9"/>
      <c r="L317" s="9"/>
    </row>
    <row r="318" spans="2:12" ht="15" x14ac:dyDescent="0.25">
      <c r="B318" t="s">
        <v>347</v>
      </c>
      <c r="C318" t="s">
        <v>348</v>
      </c>
      <c r="D318" t="str">
        <f>HYPERLINK("https://rhld.insurance.arkansas.gov/NPILookup?Npi=1073512828","1073512828")</f>
        <v>1073512828</v>
      </c>
      <c r="E318" t="s">
        <v>406</v>
      </c>
      <c r="F318" t="s">
        <v>12</v>
      </c>
      <c r="G318" s="20">
        <v>1</v>
      </c>
      <c r="H318" t="s">
        <v>4338</v>
      </c>
      <c r="I318" t="s">
        <v>32</v>
      </c>
      <c r="J318" s="9"/>
      <c r="K318" s="9"/>
      <c r="L318" s="9"/>
    </row>
    <row r="319" spans="2:12" ht="15" x14ac:dyDescent="0.25">
      <c r="B319" t="s">
        <v>347</v>
      </c>
      <c r="C319" t="s">
        <v>348</v>
      </c>
      <c r="D319" t="str">
        <f>HYPERLINK("https://rhld.insurance.arkansas.gov/NPILookup?Npi=1073521282","1073521282")</f>
        <v>1073521282</v>
      </c>
      <c r="E319" t="s">
        <v>407</v>
      </c>
      <c r="F319" t="s">
        <v>12</v>
      </c>
      <c r="G319" s="20">
        <v>1</v>
      </c>
      <c r="H319" t="s">
        <v>4338</v>
      </c>
      <c r="I319" t="s">
        <v>32</v>
      </c>
      <c r="J319" s="9"/>
      <c r="K319" s="9"/>
      <c r="L319" s="9"/>
    </row>
    <row r="320" spans="2:12" ht="15" x14ac:dyDescent="0.25">
      <c r="B320" t="s">
        <v>347</v>
      </c>
      <c r="C320" t="s">
        <v>348</v>
      </c>
      <c r="D320" t="str">
        <f>HYPERLINK("https://rhld.insurance.arkansas.gov/NPILookup?Npi=1073533956","1073533956")</f>
        <v>1073533956</v>
      </c>
      <c r="E320" t="s">
        <v>408</v>
      </c>
      <c r="F320" t="s">
        <v>12</v>
      </c>
      <c r="G320" s="20">
        <v>1</v>
      </c>
      <c r="H320" t="s">
        <v>4338</v>
      </c>
      <c r="I320" t="s">
        <v>32</v>
      </c>
      <c r="J320" s="9"/>
      <c r="K320" s="9"/>
      <c r="L320" s="9"/>
    </row>
    <row r="321" spans="2:12" ht="15" x14ac:dyDescent="0.25">
      <c r="B321" t="s">
        <v>347</v>
      </c>
      <c r="C321" t="s">
        <v>348</v>
      </c>
      <c r="D321" t="str">
        <f>HYPERLINK("https://rhld.insurance.arkansas.gov/NPILookup?Npi=1073687505","1073687505")</f>
        <v>1073687505</v>
      </c>
      <c r="E321" t="s">
        <v>410</v>
      </c>
      <c r="F321" t="s">
        <v>12</v>
      </c>
      <c r="G321" s="20">
        <v>1</v>
      </c>
      <c r="H321" t="s">
        <v>4338</v>
      </c>
      <c r="I321" t="s">
        <v>32</v>
      </c>
      <c r="J321" s="9"/>
      <c r="K321" s="9"/>
      <c r="L321" s="9"/>
    </row>
    <row r="322" spans="2:12" ht="15" x14ac:dyDescent="0.25">
      <c r="B322" t="s">
        <v>347</v>
      </c>
      <c r="C322" t="s">
        <v>348</v>
      </c>
      <c r="D322" t="str">
        <f>HYPERLINK("https://rhld.insurance.arkansas.gov/NPILookup?Npi=1093831042","1093831042")</f>
        <v>1093831042</v>
      </c>
      <c r="E322" t="s">
        <v>421</v>
      </c>
      <c r="F322" t="s">
        <v>13</v>
      </c>
      <c r="G322" s="20">
        <v>1</v>
      </c>
      <c r="H322" t="s">
        <v>87</v>
      </c>
      <c r="I322" t="s">
        <v>32</v>
      </c>
      <c r="J322" s="9"/>
      <c r="K322" s="9"/>
      <c r="L322" s="9"/>
    </row>
    <row r="323" spans="2:12" ht="15" x14ac:dyDescent="0.25">
      <c r="B323" t="s">
        <v>347</v>
      </c>
      <c r="C323" t="s">
        <v>348</v>
      </c>
      <c r="D323" t="str">
        <f>HYPERLINK("https://rhld.insurance.arkansas.gov/NPILookup?Npi=1083174502","1083174502")</f>
        <v>1083174502</v>
      </c>
      <c r="E323" t="s">
        <v>412</v>
      </c>
      <c r="F323" t="s">
        <v>12</v>
      </c>
      <c r="G323" s="20">
        <v>1</v>
      </c>
      <c r="H323" t="s">
        <v>139</v>
      </c>
      <c r="I323" t="s">
        <v>32</v>
      </c>
      <c r="J323" s="9"/>
      <c r="K323" s="9"/>
      <c r="L323" s="9"/>
    </row>
    <row r="324" spans="2:12" ht="15" x14ac:dyDescent="0.25">
      <c r="B324" t="s">
        <v>347</v>
      </c>
      <c r="C324" t="s">
        <v>348</v>
      </c>
      <c r="D324" t="str">
        <f>HYPERLINK("https://rhld.insurance.arkansas.gov/NPILookup?Npi=1083235113","1083235113")</f>
        <v>1083235113</v>
      </c>
      <c r="E324" t="s">
        <v>413</v>
      </c>
      <c r="F324" t="s">
        <v>12</v>
      </c>
      <c r="G324" s="20">
        <v>1</v>
      </c>
      <c r="H324" t="s">
        <v>139</v>
      </c>
      <c r="I324" t="s">
        <v>32</v>
      </c>
      <c r="J324" s="9"/>
      <c r="K324" s="9"/>
      <c r="L324" s="9"/>
    </row>
    <row r="325" spans="2:12" ht="15" x14ac:dyDescent="0.25">
      <c r="B325" t="s">
        <v>347</v>
      </c>
      <c r="C325" t="s">
        <v>348</v>
      </c>
      <c r="D325" t="str">
        <f>HYPERLINK("https://rhld.insurance.arkansas.gov/NPILookup?Npi=1083675284","1083675284")</f>
        <v>1083675284</v>
      </c>
      <c r="E325" t="s">
        <v>414</v>
      </c>
      <c r="F325" t="s">
        <v>12</v>
      </c>
      <c r="G325" s="20">
        <v>1</v>
      </c>
      <c r="H325" t="s">
        <v>139</v>
      </c>
      <c r="I325" t="s">
        <v>32</v>
      </c>
      <c r="J325" s="9"/>
      <c r="K325" s="9"/>
      <c r="L325" s="9"/>
    </row>
    <row r="326" spans="2:12" ht="15" x14ac:dyDescent="0.25">
      <c r="B326" t="s">
        <v>347</v>
      </c>
      <c r="C326" t="s">
        <v>348</v>
      </c>
      <c r="D326" t="str">
        <f>HYPERLINK("https://rhld.insurance.arkansas.gov/NPILookup?Npi=1083689855","1083689855")</f>
        <v>1083689855</v>
      </c>
      <c r="E326" t="s">
        <v>415</v>
      </c>
      <c r="F326" t="s">
        <v>12</v>
      </c>
      <c r="G326" s="20">
        <v>1</v>
      </c>
      <c r="H326" t="s">
        <v>4338</v>
      </c>
      <c r="I326" t="s">
        <v>32</v>
      </c>
      <c r="J326" s="9"/>
      <c r="K326" s="9"/>
      <c r="L326" s="9"/>
    </row>
    <row r="327" spans="2:12" ht="15" x14ac:dyDescent="0.25">
      <c r="B327" t="s">
        <v>347</v>
      </c>
      <c r="C327" t="s">
        <v>348</v>
      </c>
      <c r="D327" t="str">
        <f>HYPERLINK("https://rhld.insurance.arkansas.gov/NPILookup?Npi=1093037632","1093037632")</f>
        <v>1093037632</v>
      </c>
      <c r="E327" t="s">
        <v>417</v>
      </c>
      <c r="F327" t="s">
        <v>12</v>
      </c>
      <c r="G327" s="20">
        <v>1</v>
      </c>
      <c r="H327" t="s">
        <v>139</v>
      </c>
      <c r="I327" t="s">
        <v>32</v>
      </c>
      <c r="J327" s="9"/>
      <c r="K327" s="9"/>
      <c r="L327" s="9"/>
    </row>
    <row r="328" spans="2:12" ht="15" x14ac:dyDescent="0.25">
      <c r="B328" t="s">
        <v>347</v>
      </c>
      <c r="C328" t="s">
        <v>348</v>
      </c>
      <c r="D328" t="str">
        <f>HYPERLINK("https://rhld.insurance.arkansas.gov/NPILookup?Npi=1093104895","1093104895")</f>
        <v>1093104895</v>
      </c>
      <c r="E328" t="s">
        <v>418</v>
      </c>
      <c r="F328" t="s">
        <v>12</v>
      </c>
      <c r="G328" s="20">
        <v>1</v>
      </c>
      <c r="H328" t="s">
        <v>4338</v>
      </c>
      <c r="I328" t="s">
        <v>32</v>
      </c>
      <c r="J328" s="9"/>
      <c r="K328" s="9"/>
      <c r="L328" s="9"/>
    </row>
    <row r="329" spans="2:12" ht="15" x14ac:dyDescent="0.25">
      <c r="B329" t="s">
        <v>347</v>
      </c>
      <c r="C329" t="s">
        <v>348</v>
      </c>
      <c r="D329" t="str">
        <f>HYPERLINK("https://rhld.insurance.arkansas.gov/NPILookup?Npi=1093745648","1093745648")</f>
        <v>1093745648</v>
      </c>
      <c r="E329" t="s">
        <v>419</v>
      </c>
      <c r="F329" t="s">
        <v>12</v>
      </c>
      <c r="G329" s="20">
        <v>1</v>
      </c>
      <c r="H329" t="s">
        <v>139</v>
      </c>
      <c r="I329" t="s">
        <v>32</v>
      </c>
      <c r="J329" s="9"/>
      <c r="K329" s="9"/>
      <c r="L329" s="9"/>
    </row>
    <row r="330" spans="2:12" ht="15" x14ac:dyDescent="0.25">
      <c r="B330" t="s">
        <v>347</v>
      </c>
      <c r="C330" t="s">
        <v>348</v>
      </c>
      <c r="D330" t="str">
        <f>HYPERLINK("https://rhld.insurance.arkansas.gov/NPILookup?Npi=1093779415","1093779415")</f>
        <v>1093779415</v>
      </c>
      <c r="E330" t="s">
        <v>420</v>
      </c>
      <c r="F330" t="s">
        <v>12</v>
      </c>
      <c r="G330" s="20">
        <v>1</v>
      </c>
      <c r="H330" t="s">
        <v>4338</v>
      </c>
      <c r="I330" t="s">
        <v>32</v>
      </c>
      <c r="J330" s="9"/>
      <c r="K330" s="9"/>
      <c r="L330" s="9"/>
    </row>
    <row r="331" spans="2:12" ht="15" x14ac:dyDescent="0.25">
      <c r="B331" t="s">
        <v>347</v>
      </c>
      <c r="C331" t="s">
        <v>348</v>
      </c>
      <c r="D331" t="str">
        <f>HYPERLINK("https://rhld.insurance.arkansas.gov/NPILookup?Npi=1093933285","1093933285")</f>
        <v>1093933285</v>
      </c>
      <c r="E331" t="s">
        <v>423</v>
      </c>
      <c r="F331" t="s">
        <v>13</v>
      </c>
      <c r="G331" s="20">
        <v>1</v>
      </c>
      <c r="H331" t="s">
        <v>87</v>
      </c>
      <c r="I331" t="s">
        <v>32</v>
      </c>
      <c r="J331" s="9"/>
      <c r="K331" s="9"/>
      <c r="L331" s="9"/>
    </row>
    <row r="332" spans="2:12" ht="15" x14ac:dyDescent="0.25">
      <c r="B332" t="s">
        <v>347</v>
      </c>
      <c r="C332" t="s">
        <v>348</v>
      </c>
      <c r="D332" t="str">
        <f>HYPERLINK("https://rhld.insurance.arkansas.gov/NPILookup?Npi=1093858581","1093858581")</f>
        <v>1093858581</v>
      </c>
      <c r="E332" t="s">
        <v>422</v>
      </c>
      <c r="F332" t="s">
        <v>12</v>
      </c>
      <c r="G332" s="20">
        <v>1</v>
      </c>
      <c r="H332" t="s">
        <v>4338</v>
      </c>
      <c r="I332" t="s">
        <v>32</v>
      </c>
      <c r="J332" s="9"/>
      <c r="K332" s="9"/>
      <c r="L332" s="9"/>
    </row>
    <row r="333" spans="2:12" ht="15" x14ac:dyDescent="0.25">
      <c r="B333" t="s">
        <v>347</v>
      </c>
      <c r="C333" t="s">
        <v>348</v>
      </c>
      <c r="D333" t="str">
        <f>HYPERLINK("https://rhld.insurance.arkansas.gov/NPILookup?Npi=1104184241","1104184241")</f>
        <v>1104184241</v>
      </c>
      <c r="E333" t="s">
        <v>425</v>
      </c>
      <c r="F333" t="s">
        <v>13</v>
      </c>
      <c r="G333" s="20">
        <v>1</v>
      </c>
      <c r="H333" t="s">
        <v>87</v>
      </c>
      <c r="I333" t="s">
        <v>32</v>
      </c>
      <c r="J333" s="9"/>
      <c r="K333" s="9"/>
      <c r="L333" s="9"/>
    </row>
    <row r="334" spans="2:12" ht="15" x14ac:dyDescent="0.25">
      <c r="B334" t="s">
        <v>347</v>
      </c>
      <c r="C334" t="s">
        <v>348</v>
      </c>
      <c r="D334" t="str">
        <f>HYPERLINK("https://rhld.insurance.arkansas.gov/NPILookup?Npi=1104076439","1104076439")</f>
        <v>1104076439</v>
      </c>
      <c r="E334" t="s">
        <v>424</v>
      </c>
      <c r="F334" t="s">
        <v>12</v>
      </c>
      <c r="G334" s="20">
        <v>1</v>
      </c>
      <c r="H334" t="s">
        <v>4338</v>
      </c>
      <c r="I334" t="s">
        <v>32</v>
      </c>
      <c r="J334" s="9"/>
      <c r="K334" s="9"/>
      <c r="L334" s="9"/>
    </row>
    <row r="335" spans="2:12" ht="15" x14ac:dyDescent="0.25">
      <c r="B335" t="s">
        <v>347</v>
      </c>
      <c r="C335" t="s">
        <v>348</v>
      </c>
      <c r="D335" t="str">
        <f>HYPERLINK("https://rhld.insurance.arkansas.gov/NPILookup?Npi=1114556594","1114556594")</f>
        <v>1114556594</v>
      </c>
      <c r="E335" t="s">
        <v>432</v>
      </c>
      <c r="F335" t="s">
        <v>13</v>
      </c>
      <c r="G335" s="20">
        <v>1</v>
      </c>
      <c r="H335" t="s">
        <v>87</v>
      </c>
      <c r="I335" t="s">
        <v>4357</v>
      </c>
      <c r="J335" s="9"/>
      <c r="K335" s="9"/>
      <c r="L335" s="9"/>
    </row>
    <row r="336" spans="2:12" ht="15" x14ac:dyDescent="0.25">
      <c r="B336" t="s">
        <v>347</v>
      </c>
      <c r="C336" t="s">
        <v>348</v>
      </c>
      <c r="D336" t="str">
        <f>HYPERLINK("https://rhld.insurance.arkansas.gov/NPILookup?Npi=1104262625","1104262625")</f>
        <v>1104262625</v>
      </c>
      <c r="E336" t="s">
        <v>426</v>
      </c>
      <c r="F336" t="s">
        <v>12</v>
      </c>
      <c r="G336" s="20">
        <v>1</v>
      </c>
      <c r="H336" t="s">
        <v>139</v>
      </c>
      <c r="I336" t="s">
        <v>32</v>
      </c>
      <c r="J336" s="9"/>
      <c r="K336" s="9"/>
      <c r="L336" s="9"/>
    </row>
    <row r="337" spans="2:12" ht="15" x14ac:dyDescent="0.25">
      <c r="B337" t="s">
        <v>347</v>
      </c>
      <c r="C337" t="s">
        <v>348</v>
      </c>
      <c r="D337" t="str">
        <f>HYPERLINK("https://rhld.insurance.arkansas.gov/NPILookup?Npi=1104320225","1104320225")</f>
        <v>1104320225</v>
      </c>
      <c r="E337" t="s">
        <v>427</v>
      </c>
      <c r="F337" t="s">
        <v>12</v>
      </c>
      <c r="G337" s="20">
        <v>1</v>
      </c>
      <c r="H337" t="s">
        <v>4338</v>
      </c>
      <c r="I337" t="s">
        <v>32</v>
      </c>
      <c r="J337" s="9"/>
      <c r="K337" s="9"/>
      <c r="L337" s="9"/>
    </row>
    <row r="338" spans="2:12" ht="15" x14ac:dyDescent="0.25">
      <c r="B338" t="s">
        <v>347</v>
      </c>
      <c r="C338" t="s">
        <v>348</v>
      </c>
      <c r="D338" t="str">
        <f>HYPERLINK("https://rhld.insurance.arkansas.gov/NPILookup?Npi=1104446103","1104446103")</f>
        <v>1104446103</v>
      </c>
      <c r="E338" t="s">
        <v>428</v>
      </c>
      <c r="F338" t="s">
        <v>12</v>
      </c>
      <c r="G338" s="20">
        <v>1</v>
      </c>
      <c r="H338" t="s">
        <v>139</v>
      </c>
      <c r="I338" t="s">
        <v>32</v>
      </c>
      <c r="J338" s="9"/>
      <c r="K338" s="9"/>
      <c r="L338" s="9"/>
    </row>
    <row r="339" spans="2:12" ht="15" x14ac:dyDescent="0.25">
      <c r="B339" t="s">
        <v>347</v>
      </c>
      <c r="C339" t="s">
        <v>348</v>
      </c>
      <c r="D339" t="str">
        <f>HYPERLINK("https://rhld.insurance.arkansas.gov/NPILookup?Npi=1114330552","1114330552")</f>
        <v>1114330552</v>
      </c>
      <c r="E339" t="s">
        <v>430</v>
      </c>
      <c r="F339" t="s">
        <v>12</v>
      </c>
      <c r="G339" s="20">
        <v>1</v>
      </c>
      <c r="H339" t="s">
        <v>139</v>
      </c>
      <c r="I339" t="s">
        <v>32</v>
      </c>
      <c r="J339" s="9"/>
      <c r="K339" s="9"/>
      <c r="L339" s="9"/>
    </row>
    <row r="340" spans="2:12" ht="15" x14ac:dyDescent="0.25">
      <c r="B340" t="s">
        <v>347</v>
      </c>
      <c r="C340" t="s">
        <v>348</v>
      </c>
      <c r="D340" t="str">
        <f>HYPERLINK("https://rhld.insurance.arkansas.gov/NPILookup?Npi=1114371119","1114371119")</f>
        <v>1114371119</v>
      </c>
      <c r="E340" t="s">
        <v>431</v>
      </c>
      <c r="F340" t="s">
        <v>12</v>
      </c>
      <c r="G340" s="20">
        <v>1</v>
      </c>
      <c r="H340" t="s">
        <v>4338</v>
      </c>
      <c r="I340" t="s">
        <v>32</v>
      </c>
      <c r="J340" s="9"/>
      <c r="K340" s="9"/>
      <c r="L340" s="9"/>
    </row>
    <row r="341" spans="2:12" ht="15" x14ac:dyDescent="0.25">
      <c r="B341" t="s">
        <v>347</v>
      </c>
      <c r="C341" t="s">
        <v>348</v>
      </c>
      <c r="D341" t="str">
        <f>HYPERLINK("https://rhld.insurance.arkansas.gov/NPILookup?Npi=1134180938","1134180938")</f>
        <v>1134180938</v>
      </c>
      <c r="E341" t="s">
        <v>437</v>
      </c>
      <c r="F341" t="s">
        <v>13</v>
      </c>
      <c r="G341" s="20">
        <v>1</v>
      </c>
      <c r="H341" t="s">
        <v>87</v>
      </c>
      <c r="I341" t="s">
        <v>4357</v>
      </c>
      <c r="J341" s="9"/>
      <c r="K341" s="9"/>
      <c r="L341" s="9"/>
    </row>
    <row r="342" spans="2:12" ht="15" x14ac:dyDescent="0.25">
      <c r="B342" t="s">
        <v>347</v>
      </c>
      <c r="C342" t="s">
        <v>348</v>
      </c>
      <c r="D342" t="str">
        <f>HYPERLINK("https://rhld.insurance.arkansas.gov/NPILookup?Npi=1114992732","1114992732")</f>
        <v>1114992732</v>
      </c>
      <c r="E342" t="s">
        <v>433</v>
      </c>
      <c r="F342" t="s">
        <v>12</v>
      </c>
      <c r="G342" s="20">
        <v>1</v>
      </c>
      <c r="H342" t="s">
        <v>4338</v>
      </c>
      <c r="I342" t="s">
        <v>32</v>
      </c>
      <c r="J342" s="9"/>
      <c r="K342" s="9"/>
      <c r="L342" s="9"/>
    </row>
    <row r="343" spans="2:12" ht="15" x14ac:dyDescent="0.25">
      <c r="B343" t="s">
        <v>347</v>
      </c>
      <c r="C343" t="s">
        <v>348</v>
      </c>
      <c r="D343" t="str">
        <f>HYPERLINK("https://rhld.insurance.arkansas.gov/NPILookup?Npi=1124231816","1124231816")</f>
        <v>1124231816</v>
      </c>
      <c r="E343" t="s">
        <v>434</v>
      </c>
      <c r="F343" t="s">
        <v>12</v>
      </c>
      <c r="G343" s="20">
        <v>1</v>
      </c>
      <c r="H343" t="s">
        <v>4338</v>
      </c>
      <c r="I343" t="s">
        <v>32</v>
      </c>
      <c r="J343" s="9"/>
      <c r="K343" s="9"/>
      <c r="L343" s="9"/>
    </row>
    <row r="344" spans="2:12" ht="15" x14ac:dyDescent="0.25">
      <c r="B344" t="s">
        <v>347</v>
      </c>
      <c r="C344" t="s">
        <v>348</v>
      </c>
      <c r="D344" t="str">
        <f>HYPERLINK("https://rhld.insurance.arkansas.gov/NPILookup?Npi=1124258553","1124258553")</f>
        <v>1124258553</v>
      </c>
      <c r="E344" t="s">
        <v>435</v>
      </c>
      <c r="F344" t="s">
        <v>12</v>
      </c>
      <c r="G344" s="20">
        <v>1</v>
      </c>
      <c r="H344" t="s">
        <v>4338</v>
      </c>
      <c r="I344" t="s">
        <v>32</v>
      </c>
      <c r="J344" s="9"/>
      <c r="K344" s="9"/>
      <c r="L344" s="9"/>
    </row>
    <row r="345" spans="2:12" ht="15" x14ac:dyDescent="0.25">
      <c r="B345" t="s">
        <v>347</v>
      </c>
      <c r="C345" t="s">
        <v>348</v>
      </c>
      <c r="D345" t="str">
        <f>HYPERLINK("https://rhld.insurance.arkansas.gov/NPILookup?Npi=1124687157","1124687157")</f>
        <v>1124687157</v>
      </c>
      <c r="E345" t="s">
        <v>436</v>
      </c>
      <c r="F345" t="s">
        <v>12</v>
      </c>
      <c r="G345" s="20">
        <v>1</v>
      </c>
      <c r="H345" t="s">
        <v>4338</v>
      </c>
      <c r="I345" t="s">
        <v>32</v>
      </c>
      <c r="J345" s="9"/>
      <c r="K345" s="9"/>
      <c r="L345" s="9"/>
    </row>
    <row r="346" spans="2:12" ht="15" x14ac:dyDescent="0.25">
      <c r="B346" t="s">
        <v>347</v>
      </c>
      <c r="C346" t="s">
        <v>348</v>
      </c>
      <c r="D346" t="str">
        <f>HYPERLINK("https://rhld.insurance.arkansas.gov/NPILookup?Npi=1134539885","1134539885")</f>
        <v>1134539885</v>
      </c>
      <c r="E346" t="s">
        <v>438</v>
      </c>
      <c r="F346" t="s">
        <v>13</v>
      </c>
      <c r="G346" s="20">
        <v>2</v>
      </c>
      <c r="H346" t="s">
        <v>439</v>
      </c>
      <c r="I346" t="s">
        <v>4357</v>
      </c>
      <c r="J346" s="9"/>
      <c r="K346" s="9"/>
      <c r="L346" s="9"/>
    </row>
    <row r="347" spans="2:12" ht="15" x14ac:dyDescent="0.25">
      <c r="B347" t="s">
        <v>347</v>
      </c>
      <c r="C347" t="s">
        <v>348</v>
      </c>
      <c r="D347" t="str">
        <f>HYPERLINK("https://rhld.insurance.arkansas.gov/NPILookup?Npi=1134577612","1134577612")</f>
        <v>1134577612</v>
      </c>
      <c r="E347" t="s">
        <v>440</v>
      </c>
      <c r="F347" t="s">
        <v>13</v>
      </c>
      <c r="G347" s="20">
        <v>1</v>
      </c>
      <c r="H347" t="s">
        <v>87</v>
      </c>
      <c r="I347" t="s">
        <v>32</v>
      </c>
      <c r="J347" s="9"/>
      <c r="K347" s="9"/>
      <c r="L347" s="9"/>
    </row>
    <row r="348" spans="2:12" ht="15" x14ac:dyDescent="0.25">
      <c r="B348" t="s">
        <v>347</v>
      </c>
      <c r="C348" t="s">
        <v>348</v>
      </c>
      <c r="D348" t="str">
        <f>HYPERLINK("https://rhld.insurance.arkansas.gov/NPILookup?Npi=1134879513","1134879513")</f>
        <v>1134879513</v>
      </c>
      <c r="E348" t="s">
        <v>441</v>
      </c>
      <c r="F348" t="s">
        <v>13</v>
      </c>
      <c r="G348" s="20">
        <v>1</v>
      </c>
      <c r="H348" t="s">
        <v>4357</v>
      </c>
      <c r="I348" t="s">
        <v>4357</v>
      </c>
      <c r="J348" s="9"/>
      <c r="K348" s="9"/>
      <c r="L348" s="9"/>
    </row>
    <row r="349" spans="2:12" ht="15" x14ac:dyDescent="0.25">
      <c r="B349" t="s">
        <v>347</v>
      </c>
      <c r="C349" t="s">
        <v>348</v>
      </c>
      <c r="D349" t="str">
        <f>HYPERLINK("https://rhld.insurance.arkansas.gov/NPILookup?Npi=1164009841","1164009841")</f>
        <v>1164009841</v>
      </c>
      <c r="E349" t="s">
        <v>450</v>
      </c>
      <c r="F349" t="s">
        <v>13</v>
      </c>
      <c r="G349" s="20">
        <v>1</v>
      </c>
      <c r="H349" t="s">
        <v>87</v>
      </c>
      <c r="I349" t="s">
        <v>4357</v>
      </c>
      <c r="J349" s="9"/>
      <c r="K349" s="9"/>
      <c r="L349" s="9"/>
    </row>
    <row r="350" spans="2:12" ht="15" x14ac:dyDescent="0.25">
      <c r="B350" t="s">
        <v>347</v>
      </c>
      <c r="C350" t="s">
        <v>348</v>
      </c>
      <c r="D350" t="str">
        <f>HYPERLINK("https://rhld.insurance.arkansas.gov/NPILookup?Npi=1144225020","1144225020")</f>
        <v>1144225020</v>
      </c>
      <c r="E350" t="s">
        <v>442</v>
      </c>
      <c r="F350" t="s">
        <v>12</v>
      </c>
      <c r="G350" s="20">
        <v>1</v>
      </c>
      <c r="H350" t="s">
        <v>4338</v>
      </c>
      <c r="I350" t="s">
        <v>32</v>
      </c>
      <c r="J350" s="9"/>
      <c r="K350" s="9"/>
      <c r="L350" s="9"/>
    </row>
    <row r="351" spans="2:12" ht="15" x14ac:dyDescent="0.25">
      <c r="B351" t="s">
        <v>347</v>
      </c>
      <c r="C351" t="s">
        <v>348</v>
      </c>
      <c r="D351" t="str">
        <f>HYPERLINK("https://rhld.insurance.arkansas.gov/NPILookup?Npi=1144287947","1144287947")</f>
        <v>1144287947</v>
      </c>
      <c r="E351" t="s">
        <v>443</v>
      </c>
      <c r="F351" t="s">
        <v>12</v>
      </c>
      <c r="G351" s="20">
        <v>1</v>
      </c>
      <c r="H351" t="s">
        <v>4338</v>
      </c>
      <c r="I351" t="s">
        <v>32</v>
      </c>
      <c r="J351" s="9"/>
      <c r="K351" s="9"/>
      <c r="L351" s="9"/>
    </row>
    <row r="352" spans="2:12" ht="15" x14ac:dyDescent="0.25">
      <c r="B352" t="s">
        <v>347</v>
      </c>
      <c r="C352" t="s">
        <v>348</v>
      </c>
      <c r="D352" t="str">
        <f>HYPERLINK("https://rhld.insurance.arkansas.gov/NPILookup?Npi=1144623356","1144623356")</f>
        <v>1144623356</v>
      </c>
      <c r="E352" t="s">
        <v>444</v>
      </c>
      <c r="F352" t="s">
        <v>12</v>
      </c>
      <c r="G352" s="20">
        <v>1</v>
      </c>
      <c r="H352" t="s">
        <v>139</v>
      </c>
      <c r="I352" t="s">
        <v>32</v>
      </c>
      <c r="J352" s="9"/>
      <c r="K352" s="9"/>
      <c r="L352" s="9"/>
    </row>
    <row r="353" spans="2:12" ht="15" x14ac:dyDescent="0.25">
      <c r="B353" t="s">
        <v>347</v>
      </c>
      <c r="C353" t="s">
        <v>348</v>
      </c>
      <c r="D353" t="str">
        <f>HYPERLINK("https://rhld.insurance.arkansas.gov/NPILookup?Npi=1144630955","1144630955")</f>
        <v>1144630955</v>
      </c>
      <c r="E353" t="s">
        <v>445</v>
      </c>
      <c r="F353" t="s">
        <v>12</v>
      </c>
      <c r="G353" s="20">
        <v>1</v>
      </c>
      <c r="H353" t="s">
        <v>4338</v>
      </c>
      <c r="I353" t="s">
        <v>32</v>
      </c>
      <c r="J353" s="9"/>
      <c r="K353" s="9"/>
      <c r="L353" s="9"/>
    </row>
    <row r="354" spans="2:12" ht="15" x14ac:dyDescent="0.25">
      <c r="B354" t="s">
        <v>347</v>
      </c>
      <c r="C354" t="s">
        <v>348</v>
      </c>
      <c r="D354" t="str">
        <f>HYPERLINK("https://rhld.insurance.arkansas.gov/NPILookup?Npi=1154311595","1154311595")</f>
        <v>1154311595</v>
      </c>
      <c r="E354" t="s">
        <v>446</v>
      </c>
      <c r="F354" t="s">
        <v>12</v>
      </c>
      <c r="G354" s="20">
        <v>1</v>
      </c>
      <c r="H354" t="s">
        <v>4338</v>
      </c>
      <c r="I354" t="s">
        <v>32</v>
      </c>
      <c r="J354" s="9"/>
      <c r="K354" s="9"/>
      <c r="L354" s="9"/>
    </row>
    <row r="355" spans="2:12" ht="15" x14ac:dyDescent="0.25">
      <c r="B355" t="s">
        <v>347</v>
      </c>
      <c r="C355" t="s">
        <v>348</v>
      </c>
      <c r="D355" t="str">
        <f>HYPERLINK("https://rhld.insurance.arkansas.gov/NPILookup?Npi=1154388056","1154388056")</f>
        <v>1154388056</v>
      </c>
      <c r="E355" t="s">
        <v>447</v>
      </c>
      <c r="F355" t="s">
        <v>12</v>
      </c>
      <c r="G355" s="20">
        <v>1</v>
      </c>
      <c r="H355" t="s">
        <v>4338</v>
      </c>
      <c r="I355" t="s">
        <v>32</v>
      </c>
      <c r="J355" s="9"/>
      <c r="K355" s="9"/>
      <c r="L355" s="9"/>
    </row>
    <row r="356" spans="2:12" ht="15" x14ac:dyDescent="0.25">
      <c r="B356" t="s">
        <v>347</v>
      </c>
      <c r="C356" t="s">
        <v>348</v>
      </c>
      <c r="D356" t="str">
        <f>HYPERLINK("https://rhld.insurance.arkansas.gov/NPILookup?Npi=1154684355","1154684355")</f>
        <v>1154684355</v>
      </c>
      <c r="E356" t="s">
        <v>448</v>
      </c>
      <c r="F356" t="s">
        <v>12</v>
      </c>
      <c r="G356" s="20">
        <v>1</v>
      </c>
      <c r="H356" t="s">
        <v>4338</v>
      </c>
      <c r="I356" t="s">
        <v>32</v>
      </c>
      <c r="J356" s="9"/>
      <c r="K356" s="9"/>
      <c r="L356" s="9"/>
    </row>
    <row r="357" spans="2:12" ht="15" x14ac:dyDescent="0.25">
      <c r="B357" t="s">
        <v>347</v>
      </c>
      <c r="C357" t="s">
        <v>348</v>
      </c>
      <c r="D357" t="str">
        <f>HYPERLINK("https://rhld.insurance.arkansas.gov/NPILookup?Npi=1154981710","1154981710")</f>
        <v>1154981710</v>
      </c>
      <c r="E357" t="s">
        <v>449</v>
      </c>
      <c r="F357" t="s">
        <v>12</v>
      </c>
      <c r="G357" s="20">
        <v>1</v>
      </c>
      <c r="H357" t="s">
        <v>139</v>
      </c>
      <c r="I357" t="s">
        <v>32</v>
      </c>
      <c r="J357" s="9"/>
      <c r="K357" s="9"/>
      <c r="L357" s="9"/>
    </row>
    <row r="358" spans="2:12" ht="15" x14ac:dyDescent="0.25">
      <c r="B358" t="s">
        <v>347</v>
      </c>
      <c r="C358" t="s">
        <v>348</v>
      </c>
      <c r="D358" t="str">
        <f>HYPERLINK("https://rhld.insurance.arkansas.gov/NPILookup?Npi=1164166179","1164166179")</f>
        <v>1164166179</v>
      </c>
      <c r="E358" t="s">
        <v>451</v>
      </c>
      <c r="F358" t="s">
        <v>13</v>
      </c>
      <c r="G358" s="20">
        <v>1</v>
      </c>
      <c r="H358" t="s">
        <v>87</v>
      </c>
      <c r="I358" t="s">
        <v>4357</v>
      </c>
      <c r="J358" s="9"/>
      <c r="K358" s="9"/>
      <c r="L358" s="9"/>
    </row>
    <row r="359" spans="2:12" ht="15" x14ac:dyDescent="0.25">
      <c r="B359" t="s">
        <v>347</v>
      </c>
      <c r="C359" t="s">
        <v>348</v>
      </c>
      <c r="D359" t="str">
        <f>HYPERLINK("https://rhld.insurance.arkansas.gov/NPILookup?Npi=1174872485","1174872485")</f>
        <v>1174872485</v>
      </c>
      <c r="E359" t="s">
        <v>457</v>
      </c>
      <c r="F359" t="s">
        <v>13</v>
      </c>
      <c r="G359" s="20">
        <v>1</v>
      </c>
      <c r="H359" t="s">
        <v>87</v>
      </c>
      <c r="I359" t="s">
        <v>4357</v>
      </c>
      <c r="J359" s="9"/>
      <c r="K359" s="9"/>
      <c r="L359" s="9"/>
    </row>
    <row r="360" spans="2:12" ht="15" x14ac:dyDescent="0.25">
      <c r="B360" t="s">
        <v>347</v>
      </c>
      <c r="C360" t="s">
        <v>348</v>
      </c>
      <c r="D360" t="str">
        <f>HYPERLINK("https://rhld.insurance.arkansas.gov/NPILookup?Npi=1164482162","1164482162")</f>
        <v>1164482162</v>
      </c>
      <c r="E360" t="s">
        <v>453</v>
      </c>
      <c r="F360" t="s">
        <v>12</v>
      </c>
      <c r="G360" s="20">
        <v>1</v>
      </c>
      <c r="H360" t="s">
        <v>139</v>
      </c>
      <c r="I360" t="s">
        <v>32</v>
      </c>
      <c r="J360" s="9"/>
      <c r="K360" s="9"/>
      <c r="L360" s="9"/>
    </row>
    <row r="361" spans="2:12" ht="15" x14ac:dyDescent="0.25">
      <c r="B361" t="s">
        <v>347</v>
      </c>
      <c r="C361" t="s">
        <v>348</v>
      </c>
      <c r="D361" t="str">
        <f>HYPERLINK("https://rhld.insurance.arkansas.gov/NPILookup?Npi=1164491270","1164491270")</f>
        <v>1164491270</v>
      </c>
      <c r="E361" t="s">
        <v>454</v>
      </c>
      <c r="F361" t="s">
        <v>12</v>
      </c>
      <c r="G361" s="20">
        <v>1</v>
      </c>
      <c r="H361" t="s">
        <v>4338</v>
      </c>
      <c r="I361" t="s">
        <v>32</v>
      </c>
      <c r="J361" s="9"/>
      <c r="K361" s="9"/>
      <c r="L361" s="9"/>
    </row>
    <row r="362" spans="2:12" ht="15" x14ac:dyDescent="0.25">
      <c r="B362" t="s">
        <v>347</v>
      </c>
      <c r="C362" t="s">
        <v>348</v>
      </c>
      <c r="D362" t="str">
        <f>HYPERLINK("https://rhld.insurance.arkansas.gov/NPILookup?Npi=1164962726","1164962726")</f>
        <v>1164962726</v>
      </c>
      <c r="E362" t="s">
        <v>456</v>
      </c>
      <c r="F362" t="s">
        <v>12</v>
      </c>
      <c r="G362" s="20">
        <v>1</v>
      </c>
      <c r="H362" t="s">
        <v>4338</v>
      </c>
      <c r="I362" t="s">
        <v>32</v>
      </c>
      <c r="J362" s="9"/>
      <c r="K362" s="9"/>
      <c r="L362" s="9"/>
    </row>
    <row r="363" spans="2:12" ht="15" x14ac:dyDescent="0.25">
      <c r="B363" t="s">
        <v>347</v>
      </c>
      <c r="C363" t="s">
        <v>348</v>
      </c>
      <c r="D363" t="str">
        <f>HYPERLINK("https://rhld.insurance.arkansas.gov/NPILookup?Npi=1184203648","1184203648")</f>
        <v>1184203648</v>
      </c>
      <c r="E363" t="s">
        <v>461</v>
      </c>
      <c r="F363" t="s">
        <v>13</v>
      </c>
      <c r="G363" s="20">
        <v>1</v>
      </c>
      <c r="H363" t="s">
        <v>4357</v>
      </c>
      <c r="I363" t="s">
        <v>4357</v>
      </c>
      <c r="J363" s="9"/>
      <c r="K363" s="9"/>
      <c r="L363" s="9"/>
    </row>
    <row r="364" spans="2:12" ht="15" x14ac:dyDescent="0.25">
      <c r="B364" t="s">
        <v>347</v>
      </c>
      <c r="C364" t="s">
        <v>348</v>
      </c>
      <c r="D364" t="str">
        <f>HYPERLINK("https://rhld.insurance.arkansas.gov/NPILookup?Npi=1184038598","1184038598")</f>
        <v>1184038598</v>
      </c>
      <c r="E364" t="s">
        <v>458</v>
      </c>
      <c r="F364" t="s">
        <v>12</v>
      </c>
      <c r="G364" s="20">
        <v>1</v>
      </c>
      <c r="H364" t="s">
        <v>4338</v>
      </c>
      <c r="I364" t="s">
        <v>32</v>
      </c>
      <c r="J364" s="9"/>
      <c r="K364" s="9"/>
      <c r="L364" s="9"/>
    </row>
    <row r="365" spans="2:12" ht="15" x14ac:dyDescent="0.25">
      <c r="B365" t="s">
        <v>347</v>
      </c>
      <c r="C365" t="s">
        <v>348</v>
      </c>
      <c r="D365" t="str">
        <f>HYPERLINK("https://rhld.insurance.arkansas.gov/NPILookup?Npi=1184118051","1184118051")</f>
        <v>1184118051</v>
      </c>
      <c r="E365" t="s">
        <v>459</v>
      </c>
      <c r="F365" t="s">
        <v>12</v>
      </c>
      <c r="G365" s="20">
        <v>1</v>
      </c>
      <c r="H365" t="s">
        <v>139</v>
      </c>
      <c r="I365" t="s">
        <v>32</v>
      </c>
      <c r="J365" s="9"/>
      <c r="K365" s="9"/>
      <c r="L365" s="9"/>
    </row>
    <row r="366" spans="2:12" ht="15" x14ac:dyDescent="0.25">
      <c r="B366" t="s">
        <v>347</v>
      </c>
      <c r="C366" t="s">
        <v>348</v>
      </c>
      <c r="D366" t="str">
        <f>HYPERLINK("https://rhld.insurance.arkansas.gov/NPILookup?Npi=1184290587","1184290587")</f>
        <v>1184290587</v>
      </c>
      <c r="E366" t="s">
        <v>462</v>
      </c>
      <c r="F366" t="s">
        <v>13</v>
      </c>
      <c r="G366" s="20">
        <v>2</v>
      </c>
      <c r="H366" t="s">
        <v>439</v>
      </c>
      <c r="I366" t="s">
        <v>4357</v>
      </c>
      <c r="J366" s="9"/>
      <c r="K366" s="9"/>
      <c r="L366" s="9"/>
    </row>
    <row r="367" spans="2:12" ht="15" x14ac:dyDescent="0.25">
      <c r="B367" t="s">
        <v>347</v>
      </c>
      <c r="C367" t="s">
        <v>348</v>
      </c>
      <c r="D367" t="str">
        <f>HYPERLINK("https://rhld.insurance.arkansas.gov/NPILookup?Npi=1184669137","1184669137")</f>
        <v>1184669137</v>
      </c>
      <c r="E367" t="s">
        <v>464</v>
      </c>
      <c r="F367" t="s">
        <v>13</v>
      </c>
      <c r="G367" s="20">
        <v>1</v>
      </c>
      <c r="H367" t="s">
        <v>87</v>
      </c>
      <c r="I367" t="s">
        <v>32</v>
      </c>
      <c r="J367" s="9"/>
      <c r="K367" s="9"/>
      <c r="L367" s="9"/>
    </row>
    <row r="368" spans="2:12" ht="15" x14ac:dyDescent="0.25">
      <c r="B368" t="s">
        <v>347</v>
      </c>
      <c r="C368" t="s">
        <v>348</v>
      </c>
      <c r="D368" t="str">
        <f>HYPERLINK("https://rhld.insurance.arkansas.gov/NPILookup?Npi=1184650616","1184650616")</f>
        <v>1184650616</v>
      </c>
      <c r="E368" t="s">
        <v>463</v>
      </c>
      <c r="F368" t="s">
        <v>12</v>
      </c>
      <c r="G368" s="20">
        <v>1</v>
      </c>
      <c r="H368" t="s">
        <v>4338</v>
      </c>
      <c r="I368" t="s">
        <v>32</v>
      </c>
      <c r="J368" s="9"/>
      <c r="K368" s="9"/>
      <c r="L368" s="9"/>
    </row>
    <row r="369" spans="2:12" ht="15" x14ac:dyDescent="0.25">
      <c r="B369" t="s">
        <v>347</v>
      </c>
      <c r="C369" t="s">
        <v>348</v>
      </c>
      <c r="D369" t="str">
        <f>HYPERLINK("https://rhld.insurance.arkansas.gov/NPILookup?Npi=1205806585","1205806585")</f>
        <v>1205806585</v>
      </c>
      <c r="E369" t="s">
        <v>477</v>
      </c>
      <c r="F369" t="s">
        <v>13</v>
      </c>
      <c r="G369" s="20">
        <v>1</v>
      </c>
      <c r="H369" t="s">
        <v>87</v>
      </c>
      <c r="I369" t="s">
        <v>4357</v>
      </c>
      <c r="J369" s="9"/>
      <c r="K369" s="9"/>
      <c r="L369" s="9"/>
    </row>
    <row r="370" spans="2:12" ht="15" x14ac:dyDescent="0.25">
      <c r="B370" t="s">
        <v>347</v>
      </c>
      <c r="C370" t="s">
        <v>348</v>
      </c>
      <c r="D370" t="str">
        <f>HYPERLINK("https://rhld.insurance.arkansas.gov/NPILookup?Npi=1184843419","1184843419")</f>
        <v>1184843419</v>
      </c>
      <c r="E370" t="s">
        <v>465</v>
      </c>
      <c r="F370" t="s">
        <v>12</v>
      </c>
      <c r="G370" s="20">
        <v>1</v>
      </c>
      <c r="H370" t="s">
        <v>139</v>
      </c>
      <c r="I370" t="s">
        <v>32</v>
      </c>
      <c r="J370" s="9"/>
      <c r="K370" s="9"/>
      <c r="L370" s="9"/>
    </row>
    <row r="371" spans="2:12" ht="15" x14ac:dyDescent="0.25">
      <c r="B371" t="s">
        <v>347</v>
      </c>
      <c r="C371" t="s">
        <v>348</v>
      </c>
      <c r="D371" t="str">
        <f>HYPERLINK("https://rhld.insurance.arkansas.gov/NPILookup?Npi=1184882383","1184882383")</f>
        <v>1184882383</v>
      </c>
      <c r="E371" t="s">
        <v>466</v>
      </c>
      <c r="F371" t="s">
        <v>12</v>
      </c>
      <c r="G371" s="20">
        <v>1</v>
      </c>
      <c r="H371" t="s">
        <v>4338</v>
      </c>
      <c r="I371" t="s">
        <v>32</v>
      </c>
      <c r="J371" s="9"/>
      <c r="K371" s="9"/>
      <c r="L371" s="9"/>
    </row>
    <row r="372" spans="2:12" ht="15" x14ac:dyDescent="0.25">
      <c r="B372" t="s">
        <v>347</v>
      </c>
      <c r="C372" t="s">
        <v>348</v>
      </c>
      <c r="D372" t="str">
        <f>HYPERLINK("https://rhld.insurance.arkansas.gov/NPILookup?Npi=1194040865","1194040865")</f>
        <v>1194040865</v>
      </c>
      <c r="E372" t="s">
        <v>467</v>
      </c>
      <c r="F372" t="s">
        <v>12</v>
      </c>
      <c r="G372" s="20">
        <v>1</v>
      </c>
      <c r="H372" t="s">
        <v>4338</v>
      </c>
      <c r="I372" t="s">
        <v>32</v>
      </c>
      <c r="J372" s="9"/>
      <c r="K372" s="9"/>
      <c r="L372" s="9"/>
    </row>
    <row r="373" spans="2:12" ht="15" x14ac:dyDescent="0.25">
      <c r="B373" t="s">
        <v>347</v>
      </c>
      <c r="C373" t="s">
        <v>348</v>
      </c>
      <c r="D373" t="str">
        <f>HYPERLINK("https://rhld.insurance.arkansas.gov/NPILookup?Npi=1194086926","1194086926")</f>
        <v>1194086926</v>
      </c>
      <c r="E373" t="s">
        <v>468</v>
      </c>
      <c r="F373" t="s">
        <v>12</v>
      </c>
      <c r="G373" s="20">
        <v>1</v>
      </c>
      <c r="H373" t="s">
        <v>4338</v>
      </c>
      <c r="I373" t="s">
        <v>32</v>
      </c>
      <c r="J373" s="9"/>
      <c r="K373" s="9"/>
      <c r="L373" s="9"/>
    </row>
    <row r="374" spans="2:12" ht="15" x14ac:dyDescent="0.25">
      <c r="B374" t="s">
        <v>347</v>
      </c>
      <c r="C374" t="s">
        <v>348</v>
      </c>
      <c r="D374" t="str">
        <f>HYPERLINK("https://rhld.insurance.arkansas.gov/NPILookup?Npi=1194220186","1194220186")</f>
        <v>1194220186</v>
      </c>
      <c r="E374" t="s">
        <v>469</v>
      </c>
      <c r="F374" t="s">
        <v>12</v>
      </c>
      <c r="G374" s="20">
        <v>1</v>
      </c>
      <c r="H374" t="s">
        <v>4338</v>
      </c>
      <c r="I374" t="s">
        <v>32</v>
      </c>
      <c r="J374" s="9"/>
      <c r="K374" s="9"/>
      <c r="L374" s="9"/>
    </row>
    <row r="375" spans="2:12" ht="15" x14ac:dyDescent="0.25">
      <c r="B375" t="s">
        <v>347</v>
      </c>
      <c r="C375" t="s">
        <v>348</v>
      </c>
      <c r="D375" t="str">
        <f>HYPERLINK("https://rhld.insurance.arkansas.gov/NPILookup?Npi=1194285478","1194285478")</f>
        <v>1194285478</v>
      </c>
      <c r="E375" t="s">
        <v>470</v>
      </c>
      <c r="F375" t="s">
        <v>12</v>
      </c>
      <c r="G375" s="20">
        <v>1</v>
      </c>
      <c r="H375" t="s">
        <v>139</v>
      </c>
      <c r="I375" t="s">
        <v>32</v>
      </c>
      <c r="J375" s="9"/>
      <c r="K375" s="9"/>
      <c r="L375" s="9"/>
    </row>
    <row r="376" spans="2:12" ht="15" x14ac:dyDescent="0.25">
      <c r="B376" t="s">
        <v>347</v>
      </c>
      <c r="C376" t="s">
        <v>348</v>
      </c>
      <c r="D376" t="str">
        <f>HYPERLINK("https://rhld.insurance.arkansas.gov/NPILookup?Npi=1194746602","1194746602")</f>
        <v>1194746602</v>
      </c>
      <c r="E376" t="s">
        <v>471</v>
      </c>
      <c r="F376" t="s">
        <v>12</v>
      </c>
      <c r="G376" s="20">
        <v>1</v>
      </c>
      <c r="H376" t="s">
        <v>4338</v>
      </c>
      <c r="I376" t="s">
        <v>32</v>
      </c>
      <c r="J376" s="9"/>
      <c r="K376" s="9"/>
      <c r="L376" s="9"/>
    </row>
    <row r="377" spans="2:12" ht="15" x14ac:dyDescent="0.25">
      <c r="B377" t="s">
        <v>347</v>
      </c>
      <c r="C377" t="s">
        <v>348</v>
      </c>
      <c r="D377" t="str">
        <f>HYPERLINK("https://rhld.insurance.arkansas.gov/NPILookup?Npi=1194789685","1194789685")</f>
        <v>1194789685</v>
      </c>
      <c r="E377" t="s">
        <v>472</v>
      </c>
      <c r="F377" t="s">
        <v>12</v>
      </c>
      <c r="G377" s="20">
        <v>1</v>
      </c>
      <c r="H377" t="s">
        <v>4338</v>
      </c>
      <c r="I377" t="s">
        <v>32</v>
      </c>
      <c r="J377" s="9"/>
      <c r="K377" s="9"/>
      <c r="L377" s="9"/>
    </row>
    <row r="378" spans="2:12" ht="15" x14ac:dyDescent="0.25">
      <c r="B378" t="s">
        <v>347</v>
      </c>
      <c r="C378" t="s">
        <v>348</v>
      </c>
      <c r="D378" t="str">
        <f>HYPERLINK("https://rhld.insurance.arkansas.gov/NPILookup?Npi=1194921635","1194921635")</f>
        <v>1194921635</v>
      </c>
      <c r="E378" t="s">
        <v>473</v>
      </c>
      <c r="F378" t="s">
        <v>12</v>
      </c>
      <c r="G378" s="20">
        <v>1</v>
      </c>
      <c r="H378" t="s">
        <v>4338</v>
      </c>
      <c r="I378" t="s">
        <v>32</v>
      </c>
      <c r="J378" s="9"/>
      <c r="K378" s="9"/>
      <c r="L378" s="9"/>
    </row>
    <row r="379" spans="2:12" ht="15" x14ac:dyDescent="0.25">
      <c r="B379" t="s">
        <v>347</v>
      </c>
      <c r="C379" t="s">
        <v>348</v>
      </c>
      <c r="D379" t="str">
        <f>HYPERLINK("https://rhld.insurance.arkansas.gov/NPILookup?Npi=1194967414","1194967414")</f>
        <v>1194967414</v>
      </c>
      <c r="E379" t="s">
        <v>474</v>
      </c>
      <c r="F379" t="s">
        <v>12</v>
      </c>
      <c r="G379" s="20">
        <v>1</v>
      </c>
      <c r="H379" t="s">
        <v>4338</v>
      </c>
      <c r="I379" t="s">
        <v>32</v>
      </c>
      <c r="J379" s="9"/>
      <c r="K379" s="9"/>
      <c r="L379" s="9"/>
    </row>
    <row r="380" spans="2:12" ht="15" x14ac:dyDescent="0.25">
      <c r="B380" t="s">
        <v>347</v>
      </c>
      <c r="C380" t="s">
        <v>348</v>
      </c>
      <c r="D380" t="str">
        <f>HYPERLINK("https://rhld.insurance.arkansas.gov/NPILookup?Npi=1205220654","1205220654")</f>
        <v>1205220654</v>
      </c>
      <c r="E380" t="s">
        <v>475</v>
      </c>
      <c r="F380" t="s">
        <v>12</v>
      </c>
      <c r="G380" s="20">
        <v>1</v>
      </c>
      <c r="H380" t="s">
        <v>4338</v>
      </c>
      <c r="I380" t="s">
        <v>32</v>
      </c>
      <c r="J380" s="9"/>
      <c r="K380" s="9"/>
      <c r="L380" s="9"/>
    </row>
    <row r="381" spans="2:12" ht="15" x14ac:dyDescent="0.25">
      <c r="B381" t="s">
        <v>347</v>
      </c>
      <c r="C381" t="s">
        <v>348</v>
      </c>
      <c r="D381" t="str">
        <f>HYPERLINK("https://rhld.insurance.arkansas.gov/NPILookup?Npi=1205397304","1205397304")</f>
        <v>1205397304</v>
      </c>
      <c r="E381" t="s">
        <v>476</v>
      </c>
      <c r="F381" t="s">
        <v>12</v>
      </c>
      <c r="G381" s="20">
        <v>1</v>
      </c>
      <c r="H381" t="s">
        <v>4338</v>
      </c>
      <c r="I381" t="s">
        <v>32</v>
      </c>
      <c r="J381" s="9"/>
      <c r="K381" s="9"/>
      <c r="L381" s="9"/>
    </row>
    <row r="382" spans="2:12" ht="15" x14ac:dyDescent="0.25">
      <c r="B382" t="s">
        <v>347</v>
      </c>
      <c r="C382" t="s">
        <v>348</v>
      </c>
      <c r="D382" t="str">
        <f>HYPERLINK("https://rhld.insurance.arkansas.gov/NPILookup?Npi=1215991435","1215991435")</f>
        <v>1215991435</v>
      </c>
      <c r="E382" t="s">
        <v>483</v>
      </c>
      <c r="F382" t="s">
        <v>13</v>
      </c>
      <c r="G382" s="20">
        <v>1</v>
      </c>
      <c r="H382" t="s">
        <v>87</v>
      </c>
      <c r="I382" t="s">
        <v>32</v>
      </c>
      <c r="J382" s="9"/>
      <c r="K382" s="9"/>
      <c r="L382" s="9"/>
    </row>
    <row r="383" spans="2:12" ht="15" x14ac:dyDescent="0.25">
      <c r="B383" t="s">
        <v>347</v>
      </c>
      <c r="C383" t="s">
        <v>348</v>
      </c>
      <c r="D383" t="str">
        <f>HYPERLINK("https://rhld.insurance.arkansas.gov/NPILookup?Npi=1205896347","1205896347")</f>
        <v>1205896347</v>
      </c>
      <c r="E383" t="s">
        <v>478</v>
      </c>
      <c r="F383" t="s">
        <v>12</v>
      </c>
      <c r="G383" s="20">
        <v>1</v>
      </c>
      <c r="H383" t="s">
        <v>4338</v>
      </c>
      <c r="I383" t="s">
        <v>32</v>
      </c>
      <c r="J383" s="9"/>
      <c r="K383" s="9"/>
      <c r="L383" s="9"/>
    </row>
    <row r="384" spans="2:12" ht="15" x14ac:dyDescent="0.25">
      <c r="B384" t="s">
        <v>347</v>
      </c>
      <c r="C384" t="s">
        <v>348</v>
      </c>
      <c r="D384" t="str">
        <f>HYPERLINK("https://rhld.insurance.arkansas.gov/NPILookup?Npi=1205948247","1205948247")</f>
        <v>1205948247</v>
      </c>
      <c r="E384" t="s">
        <v>479</v>
      </c>
      <c r="F384" t="s">
        <v>12</v>
      </c>
      <c r="G384" s="20">
        <v>1</v>
      </c>
      <c r="H384" t="s">
        <v>4338</v>
      </c>
      <c r="I384" t="s">
        <v>4357</v>
      </c>
      <c r="J384" s="9"/>
      <c r="K384" s="9"/>
      <c r="L384" s="9"/>
    </row>
    <row r="385" spans="2:12" ht="15" x14ac:dyDescent="0.25">
      <c r="B385" t="s">
        <v>347</v>
      </c>
      <c r="C385" t="s">
        <v>348</v>
      </c>
      <c r="D385" t="str">
        <f>HYPERLINK("https://rhld.insurance.arkansas.gov/NPILookup?Npi=1215310503","1215310503")</f>
        <v>1215310503</v>
      </c>
      <c r="E385" t="s">
        <v>480</v>
      </c>
      <c r="F385" t="s">
        <v>12</v>
      </c>
      <c r="G385" s="20">
        <v>1</v>
      </c>
      <c r="H385" t="s">
        <v>4338</v>
      </c>
      <c r="I385" t="s">
        <v>32</v>
      </c>
      <c r="J385" s="9"/>
      <c r="K385" s="9"/>
      <c r="L385" s="9"/>
    </row>
    <row r="386" spans="2:12" ht="15" x14ac:dyDescent="0.25">
      <c r="B386" t="s">
        <v>347</v>
      </c>
      <c r="C386" t="s">
        <v>348</v>
      </c>
      <c r="D386" t="str">
        <f>HYPERLINK("https://rhld.insurance.arkansas.gov/NPILookup?Npi=1215932488","1215932488")</f>
        <v>1215932488</v>
      </c>
      <c r="E386" t="s">
        <v>481</v>
      </c>
      <c r="F386" t="s">
        <v>12</v>
      </c>
      <c r="G386" s="20">
        <v>1</v>
      </c>
      <c r="H386" t="s">
        <v>4338</v>
      </c>
      <c r="I386" t="s">
        <v>32</v>
      </c>
      <c r="J386" s="9"/>
      <c r="K386" s="9"/>
      <c r="L386" s="9"/>
    </row>
    <row r="387" spans="2:12" ht="15" x14ac:dyDescent="0.25">
      <c r="B387" t="s">
        <v>347</v>
      </c>
      <c r="C387" t="s">
        <v>348</v>
      </c>
      <c r="D387" t="str">
        <f>HYPERLINK("https://rhld.insurance.arkansas.gov/NPILookup?Npi=1215968599","1215968599")</f>
        <v>1215968599</v>
      </c>
      <c r="E387" t="s">
        <v>482</v>
      </c>
      <c r="F387" t="s">
        <v>12</v>
      </c>
      <c r="G387" s="20">
        <v>1</v>
      </c>
      <c r="H387" t="s">
        <v>139</v>
      </c>
      <c r="I387" t="s">
        <v>32</v>
      </c>
      <c r="J387" s="9"/>
      <c r="K387" s="9"/>
      <c r="L387" s="9"/>
    </row>
    <row r="388" spans="2:12" ht="15" x14ac:dyDescent="0.25">
      <c r="B388" t="s">
        <v>347</v>
      </c>
      <c r="C388" t="s">
        <v>348</v>
      </c>
      <c r="D388" t="str">
        <f>HYPERLINK("https://rhld.insurance.arkansas.gov/NPILookup?Npi=1245247535","1245247535")</f>
        <v>1245247535</v>
      </c>
      <c r="E388" t="s">
        <v>495</v>
      </c>
      <c r="F388" t="s">
        <v>13</v>
      </c>
      <c r="G388" s="20">
        <v>1</v>
      </c>
      <c r="H388" t="s">
        <v>87</v>
      </c>
      <c r="I388" t="s">
        <v>32</v>
      </c>
      <c r="J388" s="9"/>
      <c r="K388" s="9"/>
      <c r="L388" s="9"/>
    </row>
    <row r="389" spans="2:12" ht="15" x14ac:dyDescent="0.25">
      <c r="B389" t="s">
        <v>347</v>
      </c>
      <c r="C389" t="s">
        <v>348</v>
      </c>
      <c r="D389" t="str">
        <f>HYPERLINK("https://rhld.insurance.arkansas.gov/NPILookup?Npi=1215999016","1215999016")</f>
        <v>1215999016</v>
      </c>
      <c r="E389" t="s">
        <v>484</v>
      </c>
      <c r="F389" t="s">
        <v>12</v>
      </c>
      <c r="G389" s="20">
        <v>1</v>
      </c>
      <c r="H389" t="s">
        <v>4338</v>
      </c>
      <c r="I389" t="s">
        <v>32</v>
      </c>
      <c r="J389" s="9"/>
      <c r="K389" s="9"/>
      <c r="L389" s="9"/>
    </row>
    <row r="390" spans="2:12" ht="15" x14ac:dyDescent="0.25">
      <c r="B390" t="s">
        <v>347</v>
      </c>
      <c r="C390" t="s">
        <v>348</v>
      </c>
      <c r="D390" t="str">
        <f>HYPERLINK("https://rhld.insurance.arkansas.gov/NPILookup?Npi=1225007966","1225007966")</f>
        <v>1225007966</v>
      </c>
      <c r="E390" t="s">
        <v>485</v>
      </c>
      <c r="F390" t="s">
        <v>12</v>
      </c>
      <c r="G390" s="20">
        <v>1</v>
      </c>
      <c r="H390" t="s">
        <v>4338</v>
      </c>
      <c r="I390" t="s">
        <v>32</v>
      </c>
      <c r="J390" s="9"/>
      <c r="K390" s="9"/>
      <c r="L390" s="9"/>
    </row>
    <row r="391" spans="2:12" ht="15" x14ac:dyDescent="0.25">
      <c r="B391" t="s">
        <v>347</v>
      </c>
      <c r="C391" t="s">
        <v>348</v>
      </c>
      <c r="D391" t="str">
        <f>HYPERLINK("https://rhld.insurance.arkansas.gov/NPILookup?Npi=1225018518","1225018518")</f>
        <v>1225018518</v>
      </c>
      <c r="E391" t="s">
        <v>486</v>
      </c>
      <c r="F391" t="s">
        <v>12</v>
      </c>
      <c r="G391" s="20">
        <v>1</v>
      </c>
      <c r="H391" t="s">
        <v>4338</v>
      </c>
      <c r="I391" t="s">
        <v>32</v>
      </c>
      <c r="J391" s="9"/>
      <c r="K391" s="9"/>
      <c r="L391" s="9"/>
    </row>
    <row r="392" spans="2:12" ht="15" x14ac:dyDescent="0.25">
      <c r="B392" t="s">
        <v>347</v>
      </c>
      <c r="C392" t="s">
        <v>348</v>
      </c>
      <c r="D392" t="str">
        <f>HYPERLINK("https://rhld.insurance.arkansas.gov/NPILookup?Npi=1225214463","1225214463")</f>
        <v>1225214463</v>
      </c>
      <c r="E392" t="s">
        <v>487</v>
      </c>
      <c r="F392" t="s">
        <v>12</v>
      </c>
      <c r="G392" s="20">
        <v>1</v>
      </c>
      <c r="H392" t="s">
        <v>4338</v>
      </c>
      <c r="I392" t="s">
        <v>32</v>
      </c>
      <c r="J392" s="9"/>
      <c r="K392" s="9"/>
      <c r="L392" s="9"/>
    </row>
    <row r="393" spans="2:12" ht="15" x14ac:dyDescent="0.25">
      <c r="B393" t="s">
        <v>347</v>
      </c>
      <c r="C393" t="s">
        <v>348</v>
      </c>
      <c r="D393" t="str">
        <f>HYPERLINK("https://rhld.insurance.arkansas.gov/NPILookup?Npi=1225418445","1225418445")</f>
        <v>1225418445</v>
      </c>
      <c r="E393" t="s">
        <v>488</v>
      </c>
      <c r="F393" t="s">
        <v>12</v>
      </c>
      <c r="G393" s="20">
        <v>1</v>
      </c>
      <c r="H393" t="s">
        <v>4338</v>
      </c>
      <c r="I393" t="s">
        <v>32</v>
      </c>
      <c r="J393" s="9"/>
      <c r="K393" s="9"/>
      <c r="L393" s="9"/>
    </row>
    <row r="394" spans="2:12" ht="15" x14ac:dyDescent="0.25">
      <c r="B394" t="s">
        <v>347</v>
      </c>
      <c r="C394" t="s">
        <v>348</v>
      </c>
      <c r="D394" t="str">
        <f>HYPERLINK("https://rhld.insurance.arkansas.gov/NPILookup?Npi=1225492531","1225492531")</f>
        <v>1225492531</v>
      </c>
      <c r="E394" t="s">
        <v>489</v>
      </c>
      <c r="F394" t="s">
        <v>12</v>
      </c>
      <c r="G394" s="20">
        <v>1</v>
      </c>
      <c r="H394" t="s">
        <v>4338</v>
      </c>
      <c r="I394" t="s">
        <v>32</v>
      </c>
      <c r="J394" s="9"/>
      <c r="K394" s="9"/>
      <c r="L394" s="9"/>
    </row>
    <row r="395" spans="2:12" ht="15" x14ac:dyDescent="0.25">
      <c r="B395" t="s">
        <v>347</v>
      </c>
      <c r="C395" t="s">
        <v>348</v>
      </c>
      <c r="D395" t="str">
        <f>HYPERLINK("https://rhld.insurance.arkansas.gov/NPILookup?Npi=1225528540","1225528540")</f>
        <v>1225528540</v>
      </c>
      <c r="E395" t="s">
        <v>490</v>
      </c>
      <c r="F395" t="s">
        <v>12</v>
      </c>
      <c r="G395" s="20">
        <v>1</v>
      </c>
      <c r="H395" t="s">
        <v>4338</v>
      </c>
      <c r="I395" t="s">
        <v>32</v>
      </c>
      <c r="J395" s="9"/>
      <c r="K395" s="9"/>
      <c r="L395" s="9"/>
    </row>
    <row r="396" spans="2:12" ht="15" x14ac:dyDescent="0.25">
      <c r="B396" t="s">
        <v>347</v>
      </c>
      <c r="C396" t="s">
        <v>348</v>
      </c>
      <c r="D396" t="str">
        <f>HYPERLINK("https://rhld.insurance.arkansas.gov/NPILookup?Npi=1225615784","1225615784")</f>
        <v>1225615784</v>
      </c>
      <c r="E396" t="s">
        <v>491</v>
      </c>
      <c r="F396" t="s">
        <v>12</v>
      </c>
      <c r="G396" s="20">
        <v>1</v>
      </c>
      <c r="H396" t="s">
        <v>139</v>
      </c>
      <c r="I396" t="s">
        <v>32</v>
      </c>
      <c r="J396" s="9"/>
      <c r="K396" s="9"/>
      <c r="L396" s="9"/>
    </row>
    <row r="397" spans="2:12" ht="15" x14ac:dyDescent="0.25">
      <c r="B397" t="s">
        <v>347</v>
      </c>
      <c r="C397" t="s">
        <v>348</v>
      </c>
      <c r="D397" t="str">
        <f>HYPERLINK("https://rhld.insurance.arkansas.gov/NPILookup?Npi=1235371758","1235371758")</f>
        <v>1235371758</v>
      </c>
      <c r="E397" t="s">
        <v>493</v>
      </c>
      <c r="F397" t="s">
        <v>12</v>
      </c>
      <c r="G397" s="20">
        <v>1</v>
      </c>
      <c r="H397" t="s">
        <v>139</v>
      </c>
      <c r="I397" t="s">
        <v>32</v>
      </c>
      <c r="J397" s="9"/>
      <c r="K397" s="9"/>
      <c r="L397" s="9"/>
    </row>
    <row r="398" spans="2:12" ht="15" x14ac:dyDescent="0.25">
      <c r="B398" t="s">
        <v>347</v>
      </c>
      <c r="C398" t="s">
        <v>348</v>
      </c>
      <c r="D398" t="str">
        <f>HYPERLINK("https://rhld.insurance.arkansas.gov/NPILookup?Npi=1235457789","1235457789")</f>
        <v>1235457789</v>
      </c>
      <c r="E398" t="s">
        <v>494</v>
      </c>
      <c r="F398" t="s">
        <v>12</v>
      </c>
      <c r="G398" s="20">
        <v>1</v>
      </c>
      <c r="H398" t="s">
        <v>4338</v>
      </c>
      <c r="I398" t="s">
        <v>4357</v>
      </c>
      <c r="J398" s="9"/>
      <c r="K398" s="9"/>
      <c r="L398" s="9"/>
    </row>
    <row r="399" spans="2:12" ht="15" x14ac:dyDescent="0.25">
      <c r="B399" t="s">
        <v>347</v>
      </c>
      <c r="C399" t="s">
        <v>348</v>
      </c>
      <c r="D399" t="str">
        <f>HYPERLINK("https://rhld.insurance.arkansas.gov/NPILookup?Npi=1265727200","1265727200")</f>
        <v>1265727200</v>
      </c>
      <c r="E399" t="s">
        <v>511</v>
      </c>
      <c r="F399" t="s">
        <v>13</v>
      </c>
      <c r="G399" s="20">
        <v>1</v>
      </c>
      <c r="H399" t="s">
        <v>87</v>
      </c>
      <c r="I399" t="s">
        <v>4357</v>
      </c>
      <c r="J399" s="9"/>
      <c r="K399" s="9"/>
      <c r="L399" s="9"/>
    </row>
    <row r="400" spans="2:12" ht="15" x14ac:dyDescent="0.25">
      <c r="B400" t="s">
        <v>347</v>
      </c>
      <c r="C400" t="s">
        <v>348</v>
      </c>
      <c r="D400" t="str">
        <f>HYPERLINK("https://rhld.insurance.arkansas.gov/NPILookup?Npi=1245286442","1245286442")</f>
        <v>1245286442</v>
      </c>
      <c r="E400" t="s">
        <v>496</v>
      </c>
      <c r="F400" t="s">
        <v>12</v>
      </c>
      <c r="G400" s="20">
        <v>1</v>
      </c>
      <c r="H400" t="s">
        <v>4338</v>
      </c>
      <c r="I400" t="s">
        <v>32</v>
      </c>
      <c r="J400" s="9"/>
      <c r="K400" s="9"/>
      <c r="L400" s="9"/>
    </row>
    <row r="401" spans="2:12" ht="15" x14ac:dyDescent="0.25">
      <c r="B401" t="s">
        <v>347</v>
      </c>
      <c r="C401" t="s">
        <v>348</v>
      </c>
      <c r="D401" t="str">
        <f>HYPERLINK("https://rhld.insurance.arkansas.gov/NPILookup?Npi=1245658376","1245658376")</f>
        <v>1245658376</v>
      </c>
      <c r="E401" t="s">
        <v>497</v>
      </c>
      <c r="F401" t="s">
        <v>12</v>
      </c>
      <c r="G401" s="20">
        <v>1</v>
      </c>
      <c r="H401" t="s">
        <v>4338</v>
      </c>
      <c r="I401" t="s">
        <v>32</v>
      </c>
      <c r="J401" s="9"/>
      <c r="K401" s="9"/>
      <c r="L401" s="9"/>
    </row>
    <row r="402" spans="2:12" ht="15" x14ac:dyDescent="0.25">
      <c r="B402" t="s">
        <v>347</v>
      </c>
      <c r="C402" t="s">
        <v>348</v>
      </c>
      <c r="D402" t="str">
        <f>HYPERLINK("https://rhld.insurance.arkansas.gov/NPILookup?Npi=1245741735","1245741735")</f>
        <v>1245741735</v>
      </c>
      <c r="E402" t="s">
        <v>498</v>
      </c>
      <c r="F402" t="s">
        <v>12</v>
      </c>
      <c r="G402" s="20">
        <v>1</v>
      </c>
      <c r="H402" t="s">
        <v>139</v>
      </c>
      <c r="I402" t="s">
        <v>4357</v>
      </c>
      <c r="J402" s="9"/>
      <c r="K402" s="9"/>
      <c r="L402" s="9"/>
    </row>
    <row r="403" spans="2:12" ht="15" x14ac:dyDescent="0.25">
      <c r="B403" t="s">
        <v>347</v>
      </c>
      <c r="C403" t="s">
        <v>348</v>
      </c>
      <c r="D403" t="str">
        <f>HYPERLINK("https://rhld.insurance.arkansas.gov/NPILookup?Npi=1255369286","1255369286")</f>
        <v>1255369286</v>
      </c>
      <c r="E403" t="s">
        <v>499</v>
      </c>
      <c r="F403" t="s">
        <v>12</v>
      </c>
      <c r="G403" s="20">
        <v>1</v>
      </c>
      <c r="H403" t="s">
        <v>139</v>
      </c>
      <c r="I403" t="s">
        <v>32</v>
      </c>
      <c r="J403" s="9"/>
      <c r="K403" s="9"/>
      <c r="L403" s="9"/>
    </row>
    <row r="404" spans="2:12" ht="15" x14ac:dyDescent="0.25">
      <c r="B404" t="s">
        <v>347</v>
      </c>
      <c r="C404" t="s">
        <v>348</v>
      </c>
      <c r="D404" t="str">
        <f>HYPERLINK("https://rhld.insurance.arkansas.gov/NPILookup?Npi=1255397006","1255397006")</f>
        <v>1255397006</v>
      </c>
      <c r="E404" t="s">
        <v>500</v>
      </c>
      <c r="F404" t="s">
        <v>12</v>
      </c>
      <c r="G404" s="20">
        <v>1</v>
      </c>
      <c r="H404" t="s">
        <v>4338</v>
      </c>
      <c r="I404" t="s">
        <v>32</v>
      </c>
      <c r="J404" s="9"/>
      <c r="K404" s="9"/>
      <c r="L404" s="9"/>
    </row>
    <row r="405" spans="2:12" ht="15" x14ac:dyDescent="0.25">
      <c r="B405" t="s">
        <v>347</v>
      </c>
      <c r="C405" t="s">
        <v>348</v>
      </c>
      <c r="D405" t="str">
        <f>HYPERLINK("https://rhld.insurance.arkansas.gov/NPILookup?Npi=1255412417","1255412417")</f>
        <v>1255412417</v>
      </c>
      <c r="E405" t="s">
        <v>501</v>
      </c>
      <c r="F405" t="s">
        <v>12</v>
      </c>
      <c r="G405" s="20">
        <v>1</v>
      </c>
      <c r="H405" t="s">
        <v>4338</v>
      </c>
      <c r="I405" t="s">
        <v>32</v>
      </c>
      <c r="J405" s="9"/>
      <c r="K405" s="9"/>
      <c r="L405" s="9"/>
    </row>
    <row r="406" spans="2:12" ht="15" x14ac:dyDescent="0.25">
      <c r="B406" t="s">
        <v>347</v>
      </c>
      <c r="C406" t="s">
        <v>348</v>
      </c>
      <c r="D406" t="str">
        <f>HYPERLINK("https://rhld.insurance.arkansas.gov/NPILookup?Npi=1255449245","1255449245")</f>
        <v>1255449245</v>
      </c>
      <c r="E406" t="s">
        <v>502</v>
      </c>
      <c r="F406" t="s">
        <v>12</v>
      </c>
      <c r="G406" s="20">
        <v>1</v>
      </c>
      <c r="H406" t="s">
        <v>139</v>
      </c>
      <c r="I406" t="s">
        <v>32</v>
      </c>
      <c r="J406" s="9"/>
      <c r="K406" s="9"/>
      <c r="L406" s="9"/>
    </row>
    <row r="407" spans="2:12" ht="15" x14ac:dyDescent="0.25">
      <c r="B407" t="s">
        <v>347</v>
      </c>
      <c r="C407" t="s">
        <v>348</v>
      </c>
      <c r="D407" t="str">
        <f>HYPERLINK("https://rhld.insurance.arkansas.gov/NPILookup?Npi=1255918157","1255918157")</f>
        <v>1255918157</v>
      </c>
      <c r="E407" t="s">
        <v>503</v>
      </c>
      <c r="F407" t="s">
        <v>12</v>
      </c>
      <c r="G407" s="20">
        <v>1</v>
      </c>
      <c r="H407" t="s">
        <v>4338</v>
      </c>
      <c r="I407" t="s">
        <v>32</v>
      </c>
      <c r="J407" s="9"/>
      <c r="K407" s="9"/>
      <c r="L407" s="9"/>
    </row>
    <row r="408" spans="2:12" ht="15" x14ac:dyDescent="0.25">
      <c r="B408" t="s">
        <v>347</v>
      </c>
      <c r="C408" t="s">
        <v>348</v>
      </c>
      <c r="D408" t="str">
        <f>HYPERLINK("https://rhld.insurance.arkansas.gov/NPILookup?Npi=1265430201","1265430201")</f>
        <v>1265430201</v>
      </c>
      <c r="E408" t="s">
        <v>504</v>
      </c>
      <c r="F408" t="s">
        <v>12</v>
      </c>
      <c r="G408" s="20">
        <v>1</v>
      </c>
      <c r="H408" t="s">
        <v>4338</v>
      </c>
      <c r="I408" t="s">
        <v>32</v>
      </c>
      <c r="J408" s="9"/>
      <c r="K408" s="9"/>
      <c r="L408" s="9"/>
    </row>
    <row r="409" spans="2:12" ht="15" x14ac:dyDescent="0.25">
      <c r="B409" t="s">
        <v>347</v>
      </c>
      <c r="C409" t="s">
        <v>348</v>
      </c>
      <c r="D409" t="str">
        <f>HYPERLINK("https://rhld.insurance.arkansas.gov/NPILookup?Npi=1265489421","1265489421")</f>
        <v>1265489421</v>
      </c>
      <c r="E409" t="s">
        <v>506</v>
      </c>
      <c r="F409" t="s">
        <v>12</v>
      </c>
      <c r="G409" s="20">
        <v>1</v>
      </c>
      <c r="H409" t="s">
        <v>4338</v>
      </c>
      <c r="I409" t="s">
        <v>32</v>
      </c>
      <c r="J409" s="9"/>
      <c r="K409" s="9"/>
      <c r="L409" s="9"/>
    </row>
    <row r="410" spans="2:12" ht="15" x14ac:dyDescent="0.25">
      <c r="B410" t="s">
        <v>347</v>
      </c>
      <c r="C410" t="s">
        <v>348</v>
      </c>
      <c r="D410" t="str">
        <f>HYPERLINK("https://rhld.insurance.arkansas.gov/NPILookup?Npi=1265497242","1265497242")</f>
        <v>1265497242</v>
      </c>
      <c r="E410" t="s">
        <v>507</v>
      </c>
      <c r="F410" t="s">
        <v>12</v>
      </c>
      <c r="G410" s="20">
        <v>1</v>
      </c>
      <c r="H410" t="s">
        <v>4338</v>
      </c>
      <c r="I410" t="s">
        <v>32</v>
      </c>
      <c r="J410" s="9"/>
      <c r="K410" s="9"/>
      <c r="L410" s="9"/>
    </row>
    <row r="411" spans="2:12" ht="15" x14ac:dyDescent="0.25">
      <c r="B411" t="s">
        <v>347</v>
      </c>
      <c r="C411" t="s">
        <v>348</v>
      </c>
      <c r="D411" t="str">
        <f>HYPERLINK("https://rhld.insurance.arkansas.gov/NPILookup?Npi=1265524300","1265524300")</f>
        <v>1265524300</v>
      </c>
      <c r="E411" t="s">
        <v>508</v>
      </c>
      <c r="F411" t="s">
        <v>12</v>
      </c>
      <c r="G411" s="20">
        <v>1</v>
      </c>
      <c r="H411" t="s">
        <v>4338</v>
      </c>
      <c r="I411" t="s">
        <v>32</v>
      </c>
      <c r="J411" s="9"/>
      <c r="K411" s="9"/>
      <c r="L411" s="9"/>
    </row>
    <row r="412" spans="2:12" ht="15" x14ac:dyDescent="0.25">
      <c r="B412" t="s">
        <v>347</v>
      </c>
      <c r="C412" t="s">
        <v>348</v>
      </c>
      <c r="D412" t="str">
        <f>HYPERLINK("https://rhld.insurance.arkansas.gov/NPILookup?Npi=1265624621","1265624621")</f>
        <v>1265624621</v>
      </c>
      <c r="E412" t="s">
        <v>509</v>
      </c>
      <c r="F412" t="s">
        <v>12</v>
      </c>
      <c r="G412" s="20">
        <v>1</v>
      </c>
      <c r="H412" t="s">
        <v>4338</v>
      </c>
      <c r="I412" t="s">
        <v>32</v>
      </c>
      <c r="J412" s="9"/>
      <c r="K412" s="9"/>
      <c r="L412" s="9"/>
    </row>
    <row r="413" spans="2:12" ht="15" x14ac:dyDescent="0.25">
      <c r="B413" t="s">
        <v>347</v>
      </c>
      <c r="C413" t="s">
        <v>348</v>
      </c>
      <c r="D413" t="str">
        <f>HYPERLINK("https://rhld.insurance.arkansas.gov/NPILookup?Npi=1265724900","1265724900")</f>
        <v>1265724900</v>
      </c>
      <c r="E413" t="s">
        <v>510</v>
      </c>
      <c r="F413" t="s">
        <v>12</v>
      </c>
      <c r="G413" s="20">
        <v>1</v>
      </c>
      <c r="H413" t="s">
        <v>4338</v>
      </c>
      <c r="I413" t="s">
        <v>32</v>
      </c>
      <c r="J413" s="9"/>
      <c r="K413" s="9"/>
      <c r="L413" s="9"/>
    </row>
    <row r="414" spans="2:12" ht="15" x14ac:dyDescent="0.25">
      <c r="B414" t="s">
        <v>347</v>
      </c>
      <c r="C414" t="s">
        <v>348</v>
      </c>
      <c r="D414" t="str">
        <f>HYPERLINK("https://rhld.insurance.arkansas.gov/NPILookup?Npi=1265811590","1265811590")</f>
        <v>1265811590</v>
      </c>
      <c r="E414" t="s">
        <v>513</v>
      </c>
      <c r="F414" t="s">
        <v>13</v>
      </c>
      <c r="G414" s="20">
        <v>1</v>
      </c>
      <c r="H414" t="s">
        <v>87</v>
      </c>
      <c r="I414" t="s">
        <v>4357</v>
      </c>
      <c r="J414" s="9"/>
      <c r="K414" s="9"/>
      <c r="L414" s="9"/>
    </row>
    <row r="415" spans="2:12" ht="15" x14ac:dyDescent="0.25">
      <c r="B415" t="s">
        <v>347</v>
      </c>
      <c r="C415" t="s">
        <v>348</v>
      </c>
      <c r="D415" t="str">
        <f>HYPERLINK("https://rhld.insurance.arkansas.gov/NPILookup?Npi=1265751101","1265751101")</f>
        <v>1265751101</v>
      </c>
      <c r="E415" t="s">
        <v>512</v>
      </c>
      <c r="F415" t="s">
        <v>12</v>
      </c>
      <c r="G415" s="20">
        <v>1</v>
      </c>
      <c r="H415" t="s">
        <v>4338</v>
      </c>
      <c r="I415" t="s">
        <v>32</v>
      </c>
      <c r="J415" s="9"/>
      <c r="K415" s="9"/>
      <c r="L415" s="9"/>
    </row>
    <row r="416" spans="2:12" ht="15" x14ac:dyDescent="0.25">
      <c r="B416" t="s">
        <v>347</v>
      </c>
      <c r="C416" t="s">
        <v>348</v>
      </c>
      <c r="D416" t="str">
        <f>HYPERLINK("https://rhld.insurance.arkansas.gov/NPILookup?Npi=1275597171","1275597171")</f>
        <v>1275597171</v>
      </c>
      <c r="E416" t="s">
        <v>519</v>
      </c>
      <c r="F416" t="s">
        <v>13</v>
      </c>
      <c r="G416" s="20">
        <v>1</v>
      </c>
      <c r="H416" t="s">
        <v>4357</v>
      </c>
      <c r="I416" t="s">
        <v>4357</v>
      </c>
      <c r="J416" s="9"/>
      <c r="K416" s="9"/>
      <c r="L416" s="9"/>
    </row>
    <row r="417" spans="2:12" ht="15" x14ac:dyDescent="0.25">
      <c r="B417" t="s">
        <v>347</v>
      </c>
      <c r="C417" t="s">
        <v>348</v>
      </c>
      <c r="D417" t="str">
        <f>HYPERLINK("https://rhld.insurance.arkansas.gov/NPILookup?Npi=1265814529","1265814529")</f>
        <v>1265814529</v>
      </c>
      <c r="E417" t="s">
        <v>514</v>
      </c>
      <c r="F417" t="s">
        <v>12</v>
      </c>
      <c r="G417" s="20">
        <v>1</v>
      </c>
      <c r="H417" t="s">
        <v>4338</v>
      </c>
      <c r="I417" t="s">
        <v>32</v>
      </c>
      <c r="J417" s="9"/>
      <c r="K417" s="9"/>
      <c r="L417" s="9"/>
    </row>
    <row r="418" spans="2:12" ht="15" x14ac:dyDescent="0.25">
      <c r="B418" t="s">
        <v>347</v>
      </c>
      <c r="C418" t="s">
        <v>348</v>
      </c>
      <c r="D418" t="str">
        <f>HYPERLINK("https://rhld.insurance.arkansas.gov/NPILookup?Npi=1275509069","1275509069")</f>
        <v>1275509069</v>
      </c>
      <c r="E418" t="s">
        <v>515</v>
      </c>
      <c r="F418" t="s">
        <v>12</v>
      </c>
      <c r="G418" s="20">
        <v>1</v>
      </c>
      <c r="H418" t="s">
        <v>4338</v>
      </c>
      <c r="I418" t="s">
        <v>32</v>
      </c>
      <c r="J418" s="9"/>
      <c r="K418" s="9"/>
      <c r="L418" s="9"/>
    </row>
    <row r="419" spans="2:12" ht="15" x14ac:dyDescent="0.25">
      <c r="B419" t="s">
        <v>347</v>
      </c>
      <c r="C419" t="s">
        <v>348</v>
      </c>
      <c r="D419" t="str">
        <f>HYPERLINK("https://rhld.insurance.arkansas.gov/NPILookup?Npi=1275533580","1275533580")</f>
        <v>1275533580</v>
      </c>
      <c r="E419" t="s">
        <v>516</v>
      </c>
      <c r="F419" t="s">
        <v>12</v>
      </c>
      <c r="G419" s="20">
        <v>1</v>
      </c>
      <c r="H419" t="s">
        <v>4338</v>
      </c>
      <c r="I419" t="s">
        <v>4357</v>
      </c>
      <c r="J419" s="9"/>
      <c r="K419" s="9"/>
      <c r="L419" s="9"/>
    </row>
    <row r="420" spans="2:12" ht="15" x14ac:dyDescent="0.25">
      <c r="B420" t="s">
        <v>347</v>
      </c>
      <c r="C420" t="s">
        <v>348</v>
      </c>
      <c r="D420" t="str">
        <f>HYPERLINK("https://rhld.insurance.arkansas.gov/NPILookup?Npi=1275583056","1275583056")</f>
        <v>1275583056</v>
      </c>
      <c r="E420" t="s">
        <v>517</v>
      </c>
      <c r="F420" t="s">
        <v>12</v>
      </c>
      <c r="G420" s="20">
        <v>1</v>
      </c>
      <c r="H420" t="s">
        <v>4338</v>
      </c>
      <c r="I420" t="s">
        <v>32</v>
      </c>
      <c r="J420" s="9"/>
      <c r="K420" s="9"/>
      <c r="L420" s="9"/>
    </row>
    <row r="421" spans="2:12" ht="15" x14ac:dyDescent="0.25">
      <c r="B421" t="s">
        <v>347</v>
      </c>
      <c r="C421" t="s">
        <v>348</v>
      </c>
      <c r="D421" t="str">
        <f>HYPERLINK("https://rhld.insurance.arkansas.gov/NPILookup?Npi=1275583908","1275583908")</f>
        <v>1275583908</v>
      </c>
      <c r="E421" t="s">
        <v>518</v>
      </c>
      <c r="F421" t="s">
        <v>12</v>
      </c>
      <c r="G421" s="20">
        <v>1</v>
      </c>
      <c r="H421" t="s">
        <v>4338</v>
      </c>
      <c r="I421" t="s">
        <v>32</v>
      </c>
      <c r="J421" s="9"/>
      <c r="K421" s="9"/>
      <c r="L421" s="9"/>
    </row>
    <row r="422" spans="2:12" ht="15" x14ac:dyDescent="0.25">
      <c r="B422" t="s">
        <v>347</v>
      </c>
      <c r="C422" t="s">
        <v>348</v>
      </c>
      <c r="D422" t="str">
        <f>HYPERLINK("https://rhld.insurance.arkansas.gov/NPILookup?Npi=1275980237","1275980237")</f>
        <v>1275980237</v>
      </c>
      <c r="E422" t="s">
        <v>523</v>
      </c>
      <c r="F422" t="s">
        <v>13</v>
      </c>
      <c r="G422" s="20">
        <v>1</v>
      </c>
      <c r="H422" t="s">
        <v>87</v>
      </c>
      <c r="I422" t="s">
        <v>32</v>
      </c>
      <c r="J422" s="9"/>
      <c r="K422" s="9"/>
      <c r="L422" s="9"/>
    </row>
    <row r="423" spans="2:12" ht="15" x14ac:dyDescent="0.25">
      <c r="B423" t="s">
        <v>347</v>
      </c>
      <c r="C423" t="s">
        <v>348</v>
      </c>
      <c r="D423" t="str">
        <f>HYPERLINK("https://rhld.insurance.arkansas.gov/NPILookup?Npi=1275632903","1275632903")</f>
        <v>1275632903</v>
      </c>
      <c r="E423" t="s">
        <v>520</v>
      </c>
      <c r="F423" t="s">
        <v>12</v>
      </c>
      <c r="G423" s="20">
        <v>1</v>
      </c>
      <c r="H423" t="s">
        <v>4338</v>
      </c>
      <c r="I423" t="s">
        <v>32</v>
      </c>
      <c r="J423" s="9"/>
      <c r="K423" s="9"/>
      <c r="L423" s="9"/>
    </row>
    <row r="424" spans="2:12" ht="15" x14ac:dyDescent="0.25">
      <c r="B424" t="s">
        <v>347</v>
      </c>
      <c r="C424" t="s">
        <v>348</v>
      </c>
      <c r="D424" t="str">
        <f>HYPERLINK("https://rhld.insurance.arkansas.gov/NPILookup?Npi=1275734543","1275734543")</f>
        <v>1275734543</v>
      </c>
      <c r="E424" t="s">
        <v>521</v>
      </c>
      <c r="F424" t="s">
        <v>12</v>
      </c>
      <c r="G424" s="20">
        <v>1</v>
      </c>
      <c r="H424" t="s">
        <v>4338</v>
      </c>
      <c r="I424" t="s">
        <v>4357</v>
      </c>
      <c r="J424" s="9"/>
      <c r="K424" s="9"/>
      <c r="L424" s="9"/>
    </row>
    <row r="425" spans="2:12" ht="15" x14ac:dyDescent="0.25">
      <c r="B425" t="s">
        <v>347</v>
      </c>
      <c r="C425" t="s">
        <v>348</v>
      </c>
      <c r="D425" t="str">
        <f>HYPERLINK("https://rhld.insurance.arkansas.gov/NPILookup?Npi=1285214346","1285214346")</f>
        <v>1285214346</v>
      </c>
      <c r="E425" t="s">
        <v>524</v>
      </c>
      <c r="F425" t="s">
        <v>13</v>
      </c>
      <c r="G425" s="20">
        <v>1</v>
      </c>
      <c r="H425" t="s">
        <v>87</v>
      </c>
      <c r="I425" t="s">
        <v>4357</v>
      </c>
      <c r="J425" s="9"/>
      <c r="K425" s="9"/>
      <c r="L425" s="9"/>
    </row>
    <row r="426" spans="2:12" ht="15" x14ac:dyDescent="0.25">
      <c r="B426" t="s">
        <v>347</v>
      </c>
      <c r="C426" t="s">
        <v>348</v>
      </c>
      <c r="D426" t="str">
        <f>HYPERLINK("https://rhld.insurance.arkansas.gov/NPILookup?Npi=1285690255","1285690255")</f>
        <v>1285690255</v>
      </c>
      <c r="E426" t="s">
        <v>527</v>
      </c>
      <c r="F426" t="s">
        <v>13</v>
      </c>
      <c r="G426" s="20">
        <v>1</v>
      </c>
      <c r="H426" t="s">
        <v>87</v>
      </c>
      <c r="I426" t="s">
        <v>32</v>
      </c>
      <c r="J426" s="9"/>
      <c r="K426" s="9"/>
      <c r="L426" s="9"/>
    </row>
    <row r="427" spans="2:12" ht="15" x14ac:dyDescent="0.25">
      <c r="B427" t="s">
        <v>347</v>
      </c>
      <c r="C427" t="s">
        <v>348</v>
      </c>
      <c r="D427" t="str">
        <f>HYPERLINK("https://rhld.insurance.arkansas.gov/NPILookup?Npi=1285631473","1285631473")</f>
        <v>1285631473</v>
      </c>
      <c r="E427" t="s">
        <v>525</v>
      </c>
      <c r="F427" t="s">
        <v>12</v>
      </c>
      <c r="G427" s="20">
        <v>1</v>
      </c>
      <c r="H427" t="s">
        <v>4338</v>
      </c>
      <c r="I427" t="s">
        <v>32</v>
      </c>
      <c r="J427" s="9"/>
      <c r="K427" s="9"/>
      <c r="L427" s="9"/>
    </row>
    <row r="428" spans="2:12" ht="15" x14ac:dyDescent="0.25">
      <c r="B428" t="s">
        <v>347</v>
      </c>
      <c r="C428" t="s">
        <v>348</v>
      </c>
      <c r="D428" t="str">
        <f>HYPERLINK("https://rhld.insurance.arkansas.gov/NPILookup?Npi=1285662791","1285662791")</f>
        <v>1285662791</v>
      </c>
      <c r="E428" t="s">
        <v>526</v>
      </c>
      <c r="F428" t="s">
        <v>12</v>
      </c>
      <c r="G428" s="20">
        <v>1</v>
      </c>
      <c r="H428" t="s">
        <v>4338</v>
      </c>
      <c r="I428" t="s">
        <v>32</v>
      </c>
      <c r="J428" s="9"/>
      <c r="K428" s="9"/>
      <c r="L428" s="9"/>
    </row>
    <row r="429" spans="2:12" ht="15" x14ac:dyDescent="0.25">
      <c r="B429" t="s">
        <v>347</v>
      </c>
      <c r="C429" t="s">
        <v>348</v>
      </c>
      <c r="D429" t="str">
        <f>HYPERLINK("https://rhld.insurance.arkansas.gov/NPILookup?Npi=1285734814","1285734814")</f>
        <v>1285734814</v>
      </c>
      <c r="E429" t="s">
        <v>528</v>
      </c>
      <c r="F429" t="s">
        <v>13</v>
      </c>
      <c r="G429" s="20">
        <v>1</v>
      </c>
      <c r="H429" t="s">
        <v>87</v>
      </c>
      <c r="I429" t="s">
        <v>32</v>
      </c>
      <c r="J429" s="9"/>
      <c r="K429" s="9"/>
      <c r="L429" s="9"/>
    </row>
    <row r="430" spans="2:12" ht="15" x14ac:dyDescent="0.25">
      <c r="B430" t="s">
        <v>347</v>
      </c>
      <c r="C430" t="s">
        <v>348</v>
      </c>
      <c r="D430" t="str">
        <f>HYPERLINK("https://rhld.insurance.arkansas.gov/NPILookup?Npi=1295718294","1295718294")</f>
        <v>1295718294</v>
      </c>
      <c r="E430" t="s">
        <v>532</v>
      </c>
      <c r="F430" t="s">
        <v>13</v>
      </c>
      <c r="G430" s="20">
        <v>1</v>
      </c>
      <c r="H430" t="s">
        <v>87</v>
      </c>
      <c r="I430" t="s">
        <v>32</v>
      </c>
      <c r="J430" s="9"/>
      <c r="K430" s="9"/>
      <c r="L430" s="9"/>
    </row>
    <row r="431" spans="2:12" ht="15" x14ac:dyDescent="0.25">
      <c r="B431" t="s">
        <v>347</v>
      </c>
      <c r="C431" t="s">
        <v>348</v>
      </c>
      <c r="D431" t="str">
        <f>HYPERLINK("https://rhld.insurance.arkansas.gov/NPILookup?Npi=1285849927","1285849927")</f>
        <v>1285849927</v>
      </c>
      <c r="E431" t="s">
        <v>530</v>
      </c>
      <c r="F431" t="s">
        <v>12</v>
      </c>
      <c r="G431" s="20">
        <v>1</v>
      </c>
      <c r="H431" t="s">
        <v>139</v>
      </c>
      <c r="I431" t="s">
        <v>4357</v>
      </c>
      <c r="J431" s="9"/>
      <c r="K431" s="9"/>
      <c r="L431" s="9"/>
    </row>
    <row r="432" spans="2:12" ht="15" x14ac:dyDescent="0.25">
      <c r="B432" t="s">
        <v>347</v>
      </c>
      <c r="C432" t="s">
        <v>348</v>
      </c>
      <c r="D432" t="str">
        <f>HYPERLINK("https://rhld.insurance.arkansas.gov/NPILookup?Npi=1295708485","1295708485")</f>
        <v>1295708485</v>
      </c>
      <c r="E432" t="s">
        <v>531</v>
      </c>
      <c r="F432" t="s">
        <v>12</v>
      </c>
      <c r="G432" s="20">
        <v>1</v>
      </c>
      <c r="H432" t="s">
        <v>4338</v>
      </c>
      <c r="I432" t="s">
        <v>32</v>
      </c>
      <c r="J432" s="9"/>
      <c r="K432" s="9"/>
      <c r="L432" s="9"/>
    </row>
    <row r="433" spans="2:12" ht="15" x14ac:dyDescent="0.25">
      <c r="B433" t="s">
        <v>347</v>
      </c>
      <c r="C433" t="s">
        <v>348</v>
      </c>
      <c r="D433" t="str">
        <f>HYPERLINK("https://rhld.insurance.arkansas.gov/NPILookup?Npi=1295772226","1295772226")</f>
        <v>1295772226</v>
      </c>
      <c r="E433" t="s">
        <v>535</v>
      </c>
      <c r="F433" t="s">
        <v>13</v>
      </c>
      <c r="G433" s="20">
        <v>1</v>
      </c>
      <c r="H433" t="s">
        <v>87</v>
      </c>
      <c r="I433" t="s">
        <v>4357</v>
      </c>
      <c r="J433" s="9"/>
      <c r="K433" s="9"/>
      <c r="L433" s="9"/>
    </row>
    <row r="434" spans="2:12" ht="15" x14ac:dyDescent="0.25">
      <c r="B434" t="s">
        <v>347</v>
      </c>
      <c r="C434" t="s">
        <v>348</v>
      </c>
      <c r="D434" t="str">
        <f>HYPERLINK("https://rhld.insurance.arkansas.gov/NPILookup?Npi=1295747566","1295747566")</f>
        <v>1295747566</v>
      </c>
      <c r="E434" t="s">
        <v>533</v>
      </c>
      <c r="F434" t="s">
        <v>12</v>
      </c>
      <c r="G434" s="20">
        <v>1</v>
      </c>
      <c r="H434" t="s">
        <v>4338</v>
      </c>
      <c r="I434" t="s">
        <v>32</v>
      </c>
      <c r="J434" s="9"/>
      <c r="K434" s="9"/>
      <c r="L434" s="9"/>
    </row>
    <row r="435" spans="2:12" ht="15" x14ac:dyDescent="0.25">
      <c r="B435" t="s">
        <v>347</v>
      </c>
      <c r="C435" t="s">
        <v>348</v>
      </c>
      <c r="D435" t="str">
        <f>HYPERLINK("https://rhld.insurance.arkansas.gov/NPILookup?Npi=1295754075","1295754075")</f>
        <v>1295754075</v>
      </c>
      <c r="E435" t="s">
        <v>534</v>
      </c>
      <c r="F435" t="s">
        <v>12</v>
      </c>
      <c r="G435" s="20">
        <v>1</v>
      </c>
      <c r="H435" t="s">
        <v>4338</v>
      </c>
      <c r="I435" t="s">
        <v>32</v>
      </c>
      <c r="J435" s="9"/>
      <c r="K435" s="9"/>
      <c r="L435" s="9"/>
    </row>
    <row r="436" spans="2:12" ht="15" x14ac:dyDescent="0.25">
      <c r="B436" t="s">
        <v>347</v>
      </c>
      <c r="C436" t="s">
        <v>348</v>
      </c>
      <c r="D436" t="str">
        <f>HYPERLINK("https://rhld.insurance.arkansas.gov/NPILookup?Npi=1295848323","1295848323")</f>
        <v>1295848323</v>
      </c>
      <c r="E436" t="s">
        <v>540</v>
      </c>
      <c r="F436" t="s">
        <v>13</v>
      </c>
      <c r="G436" s="20">
        <v>1</v>
      </c>
      <c r="H436" t="s">
        <v>87</v>
      </c>
      <c r="I436" t="s">
        <v>32</v>
      </c>
      <c r="J436" s="9"/>
      <c r="K436" s="9"/>
      <c r="L436" s="9"/>
    </row>
    <row r="437" spans="2:12" ht="15" x14ac:dyDescent="0.25">
      <c r="B437" t="s">
        <v>347</v>
      </c>
      <c r="C437" t="s">
        <v>348</v>
      </c>
      <c r="D437" t="str">
        <f>HYPERLINK("https://rhld.insurance.arkansas.gov/NPILookup?Npi=1295781987","1295781987")</f>
        <v>1295781987</v>
      </c>
      <c r="E437" t="s">
        <v>536</v>
      </c>
      <c r="F437" t="s">
        <v>12</v>
      </c>
      <c r="G437" s="20">
        <v>1</v>
      </c>
      <c r="H437" t="s">
        <v>139</v>
      </c>
      <c r="I437" t="s">
        <v>32</v>
      </c>
      <c r="J437" s="9"/>
      <c r="K437" s="9"/>
      <c r="L437" s="9"/>
    </row>
    <row r="438" spans="2:12" ht="15" x14ac:dyDescent="0.25">
      <c r="B438" t="s">
        <v>347</v>
      </c>
      <c r="C438" t="s">
        <v>348</v>
      </c>
      <c r="D438" t="str">
        <f>HYPERLINK("https://rhld.insurance.arkansas.gov/NPILookup?Npi=1295796720","1295796720")</f>
        <v>1295796720</v>
      </c>
      <c r="E438" t="s">
        <v>537</v>
      </c>
      <c r="F438" t="s">
        <v>12</v>
      </c>
      <c r="G438" s="20">
        <v>1</v>
      </c>
      <c r="H438" t="s">
        <v>139</v>
      </c>
      <c r="I438" t="s">
        <v>32</v>
      </c>
      <c r="J438" s="9"/>
      <c r="K438" s="9"/>
      <c r="L438" s="9"/>
    </row>
    <row r="439" spans="2:12" ht="15" x14ac:dyDescent="0.25">
      <c r="B439" t="s">
        <v>347</v>
      </c>
      <c r="C439" t="s">
        <v>348</v>
      </c>
      <c r="D439" t="str">
        <f>HYPERLINK("https://rhld.insurance.arkansas.gov/NPILookup?Npi=1295839397","1295839397")</f>
        <v>1295839397</v>
      </c>
      <c r="E439" t="s">
        <v>539</v>
      </c>
      <c r="F439" t="s">
        <v>12</v>
      </c>
      <c r="G439" s="20">
        <v>1</v>
      </c>
      <c r="H439" t="s">
        <v>4338</v>
      </c>
      <c r="I439" t="s">
        <v>32</v>
      </c>
      <c r="J439" s="9"/>
      <c r="K439" s="9"/>
      <c r="L439" s="9"/>
    </row>
    <row r="440" spans="2:12" ht="15" x14ac:dyDescent="0.25">
      <c r="B440" t="s">
        <v>347</v>
      </c>
      <c r="C440" t="s">
        <v>348</v>
      </c>
      <c r="D440" t="str">
        <f>HYPERLINK("https://rhld.insurance.arkansas.gov/NPILookup?Npi=1356371272","1356371272")</f>
        <v>1356371272</v>
      </c>
      <c r="E440" t="s">
        <v>573</v>
      </c>
      <c r="F440" t="s">
        <v>13</v>
      </c>
      <c r="G440" s="20">
        <v>1</v>
      </c>
      <c r="H440" t="s">
        <v>87</v>
      </c>
      <c r="I440" t="s">
        <v>4357</v>
      </c>
      <c r="J440" s="9"/>
      <c r="K440" s="9"/>
      <c r="L440" s="9"/>
    </row>
    <row r="441" spans="2:12" ht="15" x14ac:dyDescent="0.25">
      <c r="B441" t="s">
        <v>347</v>
      </c>
      <c r="C441" t="s">
        <v>348</v>
      </c>
      <c r="D441" t="str">
        <f>HYPERLINK("https://rhld.insurance.arkansas.gov/NPILookup?Npi=1295894442","1295894442")</f>
        <v>1295894442</v>
      </c>
      <c r="E441" t="s">
        <v>541</v>
      </c>
      <c r="F441" t="s">
        <v>12</v>
      </c>
      <c r="G441" s="20">
        <v>1</v>
      </c>
      <c r="H441" t="s">
        <v>4338</v>
      </c>
      <c r="I441" t="s">
        <v>32</v>
      </c>
      <c r="J441" s="9"/>
      <c r="K441" s="9"/>
      <c r="L441" s="9"/>
    </row>
    <row r="442" spans="2:12" ht="15" x14ac:dyDescent="0.25">
      <c r="B442" t="s">
        <v>347</v>
      </c>
      <c r="C442" t="s">
        <v>348</v>
      </c>
      <c r="D442" t="str">
        <f>HYPERLINK("https://rhld.insurance.arkansas.gov/NPILookup?Npi=1295956472","1295956472")</f>
        <v>1295956472</v>
      </c>
      <c r="E442" t="s">
        <v>542</v>
      </c>
      <c r="F442" t="s">
        <v>12</v>
      </c>
      <c r="G442" s="20">
        <v>1</v>
      </c>
      <c r="H442" t="s">
        <v>4338</v>
      </c>
      <c r="I442" t="s">
        <v>32</v>
      </c>
      <c r="J442" s="9"/>
      <c r="K442" s="9"/>
      <c r="L442" s="9"/>
    </row>
    <row r="443" spans="2:12" ht="15" x14ac:dyDescent="0.25">
      <c r="B443" t="s">
        <v>347</v>
      </c>
      <c r="C443" t="s">
        <v>348</v>
      </c>
      <c r="D443" t="str">
        <f>HYPERLINK("https://rhld.insurance.arkansas.gov/NPILookup?Npi=1306230586","1306230586")</f>
        <v>1306230586</v>
      </c>
      <c r="E443" t="s">
        <v>544</v>
      </c>
      <c r="F443" t="s">
        <v>12</v>
      </c>
      <c r="G443" s="20">
        <v>1</v>
      </c>
      <c r="H443" t="s">
        <v>4338</v>
      </c>
      <c r="I443" t="s">
        <v>32</v>
      </c>
      <c r="J443" s="9"/>
      <c r="K443" s="9"/>
      <c r="L443" s="9"/>
    </row>
    <row r="444" spans="2:12" ht="15" x14ac:dyDescent="0.25">
      <c r="B444" t="s">
        <v>347</v>
      </c>
      <c r="C444" t="s">
        <v>348</v>
      </c>
      <c r="D444" t="str">
        <f>HYPERLINK("https://rhld.insurance.arkansas.gov/NPILookup?Npi=1306289608","1306289608")</f>
        <v>1306289608</v>
      </c>
      <c r="E444" t="s">
        <v>545</v>
      </c>
      <c r="F444" t="s">
        <v>12</v>
      </c>
      <c r="G444" s="20">
        <v>1</v>
      </c>
      <c r="H444" t="s">
        <v>4338</v>
      </c>
      <c r="I444" t="s">
        <v>32</v>
      </c>
      <c r="J444" s="9"/>
      <c r="K444" s="9"/>
      <c r="L444" s="9"/>
    </row>
    <row r="445" spans="2:12" ht="15" x14ac:dyDescent="0.25">
      <c r="B445" t="s">
        <v>347</v>
      </c>
      <c r="C445" t="s">
        <v>348</v>
      </c>
      <c r="D445" t="str">
        <f>HYPERLINK("https://rhld.insurance.arkansas.gov/NPILookup?Npi=1306815626","1306815626")</f>
        <v>1306815626</v>
      </c>
      <c r="E445" t="s">
        <v>546</v>
      </c>
      <c r="F445" t="s">
        <v>12</v>
      </c>
      <c r="G445" s="20">
        <v>1</v>
      </c>
      <c r="H445" t="s">
        <v>4338</v>
      </c>
      <c r="I445" t="s">
        <v>32</v>
      </c>
      <c r="J445" s="9"/>
      <c r="K445" s="9"/>
      <c r="L445" s="9"/>
    </row>
    <row r="446" spans="2:12" ht="15" x14ac:dyDescent="0.25">
      <c r="B446" t="s">
        <v>347</v>
      </c>
      <c r="C446" t="s">
        <v>348</v>
      </c>
      <c r="D446" t="str">
        <f>HYPERLINK("https://rhld.insurance.arkansas.gov/NPILookup?Npi=1306870068","1306870068")</f>
        <v>1306870068</v>
      </c>
      <c r="E446" t="s">
        <v>547</v>
      </c>
      <c r="F446" t="s">
        <v>12</v>
      </c>
      <c r="G446" s="20">
        <v>1</v>
      </c>
      <c r="H446" t="s">
        <v>4338</v>
      </c>
      <c r="I446" t="s">
        <v>32</v>
      </c>
      <c r="J446" s="9"/>
      <c r="K446" s="9"/>
      <c r="L446" s="9"/>
    </row>
    <row r="447" spans="2:12" ht="15" x14ac:dyDescent="0.25">
      <c r="B447" t="s">
        <v>347</v>
      </c>
      <c r="C447" t="s">
        <v>348</v>
      </c>
      <c r="D447" t="str">
        <f>HYPERLINK("https://rhld.insurance.arkansas.gov/NPILookup?Npi=1306942297","1306942297")</f>
        <v>1306942297</v>
      </c>
      <c r="E447" t="s">
        <v>548</v>
      </c>
      <c r="F447" t="s">
        <v>12</v>
      </c>
      <c r="G447" s="20">
        <v>1</v>
      </c>
      <c r="H447" t="s">
        <v>139</v>
      </c>
      <c r="I447" t="s">
        <v>4357</v>
      </c>
      <c r="J447" s="9"/>
      <c r="K447" s="9"/>
      <c r="L447" s="9"/>
    </row>
    <row r="448" spans="2:12" ht="15" x14ac:dyDescent="0.25">
      <c r="B448" t="s">
        <v>347</v>
      </c>
      <c r="C448" t="s">
        <v>348</v>
      </c>
      <c r="D448" t="str">
        <f>HYPERLINK("https://rhld.insurance.arkansas.gov/NPILookup?Npi=1306995527","1306995527")</f>
        <v>1306995527</v>
      </c>
      <c r="E448" t="s">
        <v>549</v>
      </c>
      <c r="F448" t="s">
        <v>12</v>
      </c>
      <c r="G448" s="20">
        <v>1</v>
      </c>
      <c r="H448" t="s">
        <v>4338</v>
      </c>
      <c r="I448" t="s">
        <v>32</v>
      </c>
      <c r="J448" s="9"/>
      <c r="K448" s="9"/>
      <c r="L448" s="9"/>
    </row>
    <row r="449" spans="2:12" ht="15" x14ac:dyDescent="0.25">
      <c r="B449" t="s">
        <v>347</v>
      </c>
      <c r="C449" t="s">
        <v>348</v>
      </c>
      <c r="D449" t="str">
        <f>HYPERLINK("https://rhld.insurance.arkansas.gov/NPILookup?Npi=1316110927","1316110927")</f>
        <v>1316110927</v>
      </c>
      <c r="E449" t="s">
        <v>550</v>
      </c>
      <c r="F449" t="s">
        <v>12</v>
      </c>
      <c r="G449" s="20">
        <v>1</v>
      </c>
      <c r="H449" t="s">
        <v>4338</v>
      </c>
      <c r="I449" t="s">
        <v>4357</v>
      </c>
      <c r="J449" s="9"/>
      <c r="K449" s="9"/>
      <c r="L449" s="9"/>
    </row>
    <row r="450" spans="2:12" ht="15" x14ac:dyDescent="0.25">
      <c r="B450" t="s">
        <v>347</v>
      </c>
      <c r="C450" t="s">
        <v>348</v>
      </c>
      <c r="D450" t="str">
        <f>HYPERLINK("https://rhld.insurance.arkansas.gov/NPILookup?Npi=1316155914","1316155914")</f>
        <v>1316155914</v>
      </c>
      <c r="E450" t="s">
        <v>551</v>
      </c>
      <c r="F450" t="s">
        <v>12</v>
      </c>
      <c r="G450" s="20">
        <v>1</v>
      </c>
      <c r="H450" t="s">
        <v>4338</v>
      </c>
      <c r="I450" t="s">
        <v>32</v>
      </c>
      <c r="J450" s="9"/>
      <c r="K450" s="9"/>
      <c r="L450" s="9"/>
    </row>
    <row r="451" spans="2:12" ht="15" x14ac:dyDescent="0.25">
      <c r="B451" t="s">
        <v>347</v>
      </c>
      <c r="C451" t="s">
        <v>348</v>
      </c>
      <c r="D451" t="str">
        <f>HYPERLINK("https://rhld.insurance.arkansas.gov/NPILookup?Npi=1316220049","1316220049")</f>
        <v>1316220049</v>
      </c>
      <c r="E451" t="s">
        <v>552</v>
      </c>
      <c r="F451" t="s">
        <v>12</v>
      </c>
      <c r="G451" s="20">
        <v>1</v>
      </c>
      <c r="H451" t="s">
        <v>4338</v>
      </c>
      <c r="I451" t="s">
        <v>32</v>
      </c>
      <c r="J451" s="9"/>
      <c r="K451" s="9"/>
      <c r="L451" s="9"/>
    </row>
    <row r="452" spans="2:12" ht="15" x14ac:dyDescent="0.25">
      <c r="B452" t="s">
        <v>347</v>
      </c>
      <c r="C452" t="s">
        <v>348</v>
      </c>
      <c r="D452" t="str">
        <f>HYPERLINK("https://rhld.insurance.arkansas.gov/NPILookup?Npi=1316232648","1316232648")</f>
        <v>1316232648</v>
      </c>
      <c r="E452" t="s">
        <v>553</v>
      </c>
      <c r="F452" t="s">
        <v>12</v>
      </c>
      <c r="G452" s="20">
        <v>1</v>
      </c>
      <c r="H452" t="s">
        <v>4338</v>
      </c>
      <c r="I452" t="s">
        <v>32</v>
      </c>
      <c r="J452" s="9"/>
      <c r="K452" s="9"/>
      <c r="L452" s="9"/>
    </row>
    <row r="453" spans="2:12" ht="15" x14ac:dyDescent="0.25">
      <c r="B453" t="s">
        <v>347</v>
      </c>
      <c r="C453" t="s">
        <v>348</v>
      </c>
      <c r="D453" t="str">
        <f>HYPERLINK("https://rhld.insurance.arkansas.gov/NPILookup?Npi=1316943632","1316943632")</f>
        <v>1316943632</v>
      </c>
      <c r="E453" t="s">
        <v>554</v>
      </c>
      <c r="F453" t="s">
        <v>12</v>
      </c>
      <c r="G453" s="20">
        <v>1</v>
      </c>
      <c r="H453" t="s">
        <v>4338</v>
      </c>
      <c r="I453" t="s">
        <v>32</v>
      </c>
      <c r="J453" s="9"/>
      <c r="K453" s="9"/>
      <c r="L453" s="9"/>
    </row>
    <row r="454" spans="2:12" ht="15" x14ac:dyDescent="0.25">
      <c r="B454" t="s">
        <v>347</v>
      </c>
      <c r="C454" t="s">
        <v>348</v>
      </c>
      <c r="D454" t="str">
        <f>HYPERLINK("https://rhld.insurance.arkansas.gov/NPILookup?Npi=1316954860","1316954860")</f>
        <v>1316954860</v>
      </c>
      <c r="E454" t="s">
        <v>555</v>
      </c>
      <c r="F454" t="s">
        <v>12</v>
      </c>
      <c r="G454" s="20">
        <v>1</v>
      </c>
      <c r="H454" t="s">
        <v>4338</v>
      </c>
      <c r="I454" t="s">
        <v>32</v>
      </c>
      <c r="J454" s="9"/>
      <c r="K454" s="9"/>
      <c r="L454" s="9"/>
    </row>
    <row r="455" spans="2:12" ht="15" x14ac:dyDescent="0.25">
      <c r="B455" t="s">
        <v>347</v>
      </c>
      <c r="C455" t="s">
        <v>348</v>
      </c>
      <c r="D455" t="str">
        <f>HYPERLINK("https://rhld.insurance.arkansas.gov/NPILookup?Npi=1326063900","1326063900")</f>
        <v>1326063900</v>
      </c>
      <c r="E455" t="s">
        <v>556</v>
      </c>
      <c r="F455" t="s">
        <v>12</v>
      </c>
      <c r="G455" s="20">
        <v>1</v>
      </c>
      <c r="H455" t="s">
        <v>4338</v>
      </c>
      <c r="I455" t="s">
        <v>32</v>
      </c>
      <c r="J455" s="9"/>
      <c r="K455" s="9"/>
      <c r="L455" s="9"/>
    </row>
    <row r="456" spans="2:12" ht="15" x14ac:dyDescent="0.25">
      <c r="B456" t="s">
        <v>347</v>
      </c>
      <c r="C456" t="s">
        <v>348</v>
      </c>
      <c r="D456" t="str">
        <f>HYPERLINK("https://rhld.insurance.arkansas.gov/NPILookup?Npi=1326381468","1326381468")</f>
        <v>1326381468</v>
      </c>
      <c r="E456" t="s">
        <v>557</v>
      </c>
      <c r="F456" t="s">
        <v>12</v>
      </c>
      <c r="G456" s="20">
        <v>1</v>
      </c>
      <c r="H456" t="s">
        <v>4338</v>
      </c>
      <c r="I456" t="s">
        <v>32</v>
      </c>
      <c r="J456" s="9"/>
      <c r="K456" s="9"/>
      <c r="L456" s="9"/>
    </row>
    <row r="457" spans="2:12" ht="15" x14ac:dyDescent="0.25">
      <c r="B457" t="s">
        <v>347</v>
      </c>
      <c r="C457" t="s">
        <v>348</v>
      </c>
      <c r="D457" t="str">
        <f>HYPERLINK("https://rhld.insurance.arkansas.gov/NPILookup?Npi=1326500406","1326500406")</f>
        <v>1326500406</v>
      </c>
      <c r="E457" t="s">
        <v>558</v>
      </c>
      <c r="F457" t="s">
        <v>12</v>
      </c>
      <c r="G457" s="20">
        <v>1</v>
      </c>
      <c r="H457" t="s">
        <v>4338</v>
      </c>
      <c r="I457" t="s">
        <v>32</v>
      </c>
      <c r="J457" s="9"/>
      <c r="K457" s="9"/>
      <c r="L457" s="9"/>
    </row>
    <row r="458" spans="2:12" ht="15" x14ac:dyDescent="0.25">
      <c r="B458" t="s">
        <v>347</v>
      </c>
      <c r="C458" t="s">
        <v>348</v>
      </c>
      <c r="D458" t="str">
        <f>HYPERLINK("https://rhld.insurance.arkansas.gov/NPILookup?Npi=1326571779","1326571779")</f>
        <v>1326571779</v>
      </c>
      <c r="E458" t="s">
        <v>559</v>
      </c>
      <c r="F458" t="s">
        <v>12</v>
      </c>
      <c r="G458" s="20">
        <v>1</v>
      </c>
      <c r="H458" t="s">
        <v>139</v>
      </c>
      <c r="I458" t="s">
        <v>32</v>
      </c>
      <c r="J458" s="9"/>
      <c r="K458" s="9"/>
      <c r="L458" s="9"/>
    </row>
    <row r="459" spans="2:12" ht="15" x14ac:dyDescent="0.25">
      <c r="B459" t="s">
        <v>347</v>
      </c>
      <c r="C459" t="s">
        <v>348</v>
      </c>
      <c r="D459" t="str">
        <f>HYPERLINK("https://rhld.insurance.arkansas.gov/NPILookup?Npi=1326572934","1326572934")</f>
        <v>1326572934</v>
      </c>
      <c r="E459" t="s">
        <v>560</v>
      </c>
      <c r="F459" t="s">
        <v>12</v>
      </c>
      <c r="G459" s="20">
        <v>1</v>
      </c>
      <c r="H459" t="s">
        <v>4338</v>
      </c>
      <c r="I459" t="s">
        <v>32</v>
      </c>
      <c r="J459" s="9"/>
      <c r="K459" s="9"/>
      <c r="L459" s="9"/>
    </row>
    <row r="460" spans="2:12" ht="15" x14ac:dyDescent="0.25">
      <c r="B460" t="s">
        <v>347</v>
      </c>
      <c r="C460" t="s">
        <v>348</v>
      </c>
      <c r="D460" t="str">
        <f>HYPERLINK("https://rhld.insurance.arkansas.gov/NPILookup?Npi=1326674458","1326674458")</f>
        <v>1326674458</v>
      </c>
      <c r="E460" t="s">
        <v>561</v>
      </c>
      <c r="F460" t="s">
        <v>12</v>
      </c>
      <c r="G460" s="20">
        <v>1</v>
      </c>
      <c r="H460" t="s">
        <v>139</v>
      </c>
      <c r="I460" t="s">
        <v>32</v>
      </c>
      <c r="J460" s="9"/>
      <c r="K460" s="9"/>
      <c r="L460" s="9"/>
    </row>
    <row r="461" spans="2:12" ht="15" x14ac:dyDescent="0.25">
      <c r="B461" t="s">
        <v>347</v>
      </c>
      <c r="C461" t="s">
        <v>348</v>
      </c>
      <c r="D461" t="str">
        <f>HYPERLINK("https://rhld.insurance.arkansas.gov/NPILookup?Npi=1336118314","1336118314")</f>
        <v>1336118314</v>
      </c>
      <c r="E461" t="s">
        <v>562</v>
      </c>
      <c r="F461" t="s">
        <v>12</v>
      </c>
      <c r="G461" s="20">
        <v>1</v>
      </c>
      <c r="H461" t="s">
        <v>4338</v>
      </c>
      <c r="I461" t="s">
        <v>32</v>
      </c>
      <c r="J461" s="9"/>
      <c r="K461" s="9"/>
      <c r="L461" s="9"/>
    </row>
    <row r="462" spans="2:12" ht="15" x14ac:dyDescent="0.25">
      <c r="B462" t="s">
        <v>347</v>
      </c>
      <c r="C462" t="s">
        <v>348</v>
      </c>
      <c r="D462" t="str">
        <f>HYPERLINK("https://rhld.insurance.arkansas.gov/NPILookup?Npi=1336129758","1336129758")</f>
        <v>1336129758</v>
      </c>
      <c r="E462" t="s">
        <v>563</v>
      </c>
      <c r="F462" t="s">
        <v>12</v>
      </c>
      <c r="G462" s="20">
        <v>1</v>
      </c>
      <c r="H462" t="s">
        <v>4338</v>
      </c>
      <c r="I462" t="s">
        <v>32</v>
      </c>
      <c r="J462" s="9"/>
      <c r="K462" s="9"/>
      <c r="L462" s="9"/>
    </row>
    <row r="463" spans="2:12" ht="15" x14ac:dyDescent="0.25">
      <c r="B463" t="s">
        <v>347</v>
      </c>
      <c r="C463" t="s">
        <v>348</v>
      </c>
      <c r="D463" t="str">
        <f>HYPERLINK("https://rhld.insurance.arkansas.gov/NPILookup?Npi=1336552348","1336552348")</f>
        <v>1336552348</v>
      </c>
      <c r="E463" t="s">
        <v>565</v>
      </c>
      <c r="F463" t="s">
        <v>12</v>
      </c>
      <c r="G463" s="20">
        <v>1</v>
      </c>
      <c r="H463" t="s">
        <v>4338</v>
      </c>
      <c r="I463" t="s">
        <v>32</v>
      </c>
      <c r="J463" s="9"/>
      <c r="K463" s="9"/>
      <c r="L463" s="9"/>
    </row>
    <row r="464" spans="2:12" ht="15" x14ac:dyDescent="0.25">
      <c r="B464" t="s">
        <v>347</v>
      </c>
      <c r="C464" t="s">
        <v>348</v>
      </c>
      <c r="D464" t="str">
        <f>HYPERLINK("https://rhld.insurance.arkansas.gov/NPILookup?Npi=1336581727","1336581727")</f>
        <v>1336581727</v>
      </c>
      <c r="E464" t="s">
        <v>566</v>
      </c>
      <c r="F464" t="s">
        <v>12</v>
      </c>
      <c r="G464" s="20">
        <v>1</v>
      </c>
      <c r="H464" t="s">
        <v>4338</v>
      </c>
      <c r="I464" t="s">
        <v>32</v>
      </c>
      <c r="J464" s="9"/>
      <c r="K464" s="9"/>
      <c r="L464" s="9"/>
    </row>
    <row r="465" spans="2:12" ht="15" x14ac:dyDescent="0.25">
      <c r="B465" t="s">
        <v>347</v>
      </c>
      <c r="C465" t="s">
        <v>348</v>
      </c>
      <c r="D465" t="str">
        <f>HYPERLINK("https://rhld.insurance.arkansas.gov/NPILookup?Npi=1336585926","1336585926")</f>
        <v>1336585926</v>
      </c>
      <c r="E465" t="s">
        <v>567</v>
      </c>
      <c r="F465" t="s">
        <v>12</v>
      </c>
      <c r="G465" s="20">
        <v>1</v>
      </c>
      <c r="H465" t="s">
        <v>4338</v>
      </c>
      <c r="I465" t="s">
        <v>32</v>
      </c>
      <c r="J465" s="9"/>
      <c r="K465" s="9"/>
      <c r="L465" s="9"/>
    </row>
    <row r="466" spans="2:12" ht="15" x14ac:dyDescent="0.25">
      <c r="B466" t="s">
        <v>347</v>
      </c>
      <c r="C466" t="s">
        <v>348</v>
      </c>
      <c r="D466" t="str">
        <f>HYPERLINK("https://rhld.insurance.arkansas.gov/NPILookup?Npi=1336675123","1336675123")</f>
        <v>1336675123</v>
      </c>
      <c r="E466" t="s">
        <v>568</v>
      </c>
      <c r="F466" t="s">
        <v>12</v>
      </c>
      <c r="G466" s="20">
        <v>1</v>
      </c>
      <c r="H466" t="s">
        <v>139</v>
      </c>
      <c r="I466" t="s">
        <v>32</v>
      </c>
      <c r="J466" s="9"/>
      <c r="K466" s="9"/>
      <c r="L466" s="9"/>
    </row>
    <row r="467" spans="2:12" ht="15" x14ac:dyDescent="0.25">
      <c r="B467" t="s">
        <v>347</v>
      </c>
      <c r="C467" t="s">
        <v>348</v>
      </c>
      <c r="D467" t="str">
        <f>HYPERLINK("https://rhld.insurance.arkansas.gov/NPILookup?Npi=1346252681","1346252681")</f>
        <v>1346252681</v>
      </c>
      <c r="E467" t="s">
        <v>569</v>
      </c>
      <c r="F467" t="s">
        <v>12</v>
      </c>
      <c r="G467" s="20">
        <v>1</v>
      </c>
      <c r="H467" t="s">
        <v>4338</v>
      </c>
      <c r="I467" t="s">
        <v>32</v>
      </c>
      <c r="J467" s="9"/>
      <c r="K467" s="9"/>
      <c r="L467" s="9"/>
    </row>
    <row r="468" spans="2:12" ht="15" x14ac:dyDescent="0.25">
      <c r="B468" t="s">
        <v>347</v>
      </c>
      <c r="C468" t="s">
        <v>348</v>
      </c>
      <c r="D468" t="str">
        <f>HYPERLINK("https://rhld.insurance.arkansas.gov/NPILookup?Npi=1346300969","1346300969")</f>
        <v>1346300969</v>
      </c>
      <c r="E468" t="s">
        <v>570</v>
      </c>
      <c r="F468" t="s">
        <v>12</v>
      </c>
      <c r="G468" s="20">
        <v>1</v>
      </c>
      <c r="H468" t="s">
        <v>4338</v>
      </c>
      <c r="I468" t="s">
        <v>4357</v>
      </c>
      <c r="J468" s="9"/>
      <c r="K468" s="9"/>
      <c r="L468" s="9"/>
    </row>
    <row r="469" spans="2:12" ht="15" x14ac:dyDescent="0.25">
      <c r="B469" t="s">
        <v>347</v>
      </c>
      <c r="C469" t="s">
        <v>348</v>
      </c>
      <c r="D469" t="str">
        <f>HYPERLINK("https://rhld.insurance.arkansas.gov/NPILookup?Npi=1346878717","1346878717")</f>
        <v>1346878717</v>
      </c>
      <c r="E469" t="s">
        <v>571</v>
      </c>
      <c r="F469" t="s">
        <v>12</v>
      </c>
      <c r="G469" s="20">
        <v>1</v>
      </c>
      <c r="H469" t="s">
        <v>139</v>
      </c>
      <c r="I469" t="s">
        <v>32</v>
      </c>
      <c r="J469" s="9"/>
      <c r="K469" s="9"/>
      <c r="L469" s="9"/>
    </row>
    <row r="470" spans="2:12" ht="15" x14ac:dyDescent="0.25">
      <c r="B470" t="s">
        <v>347</v>
      </c>
      <c r="C470" t="s">
        <v>348</v>
      </c>
      <c r="D470" t="str">
        <f>HYPERLINK("https://rhld.insurance.arkansas.gov/NPILookup?Npi=1366973786","1366973786")</f>
        <v>1366973786</v>
      </c>
      <c r="E470" t="s">
        <v>582</v>
      </c>
      <c r="F470" t="s">
        <v>13</v>
      </c>
      <c r="G470" s="20">
        <v>2</v>
      </c>
      <c r="H470" t="s">
        <v>439</v>
      </c>
      <c r="I470" t="s">
        <v>4357</v>
      </c>
      <c r="J470" s="9"/>
      <c r="K470" s="9"/>
      <c r="L470" s="9"/>
    </row>
    <row r="471" spans="2:12" ht="15" x14ac:dyDescent="0.25">
      <c r="B471" t="s">
        <v>347</v>
      </c>
      <c r="C471" t="s">
        <v>348</v>
      </c>
      <c r="D471" t="str">
        <f>HYPERLINK("https://rhld.insurance.arkansas.gov/NPILookup?Npi=1356431936","1356431936")</f>
        <v>1356431936</v>
      </c>
      <c r="E471" t="s">
        <v>574</v>
      </c>
      <c r="F471" t="s">
        <v>12</v>
      </c>
      <c r="G471" s="20">
        <v>1</v>
      </c>
      <c r="H471" t="s">
        <v>4338</v>
      </c>
      <c r="I471" t="s">
        <v>4357</v>
      </c>
      <c r="J471" s="9"/>
      <c r="K471" s="9"/>
      <c r="L471" s="9"/>
    </row>
    <row r="472" spans="2:12" ht="15" x14ac:dyDescent="0.25">
      <c r="B472" t="s">
        <v>347</v>
      </c>
      <c r="C472" t="s">
        <v>348</v>
      </c>
      <c r="D472" t="str">
        <f>HYPERLINK("https://rhld.insurance.arkansas.gov/NPILookup?Npi=1366403479","1366403479")</f>
        <v>1366403479</v>
      </c>
      <c r="E472" t="s">
        <v>575</v>
      </c>
      <c r="F472" t="s">
        <v>12</v>
      </c>
      <c r="G472" s="20">
        <v>1</v>
      </c>
      <c r="H472" t="s">
        <v>4338</v>
      </c>
      <c r="I472" t="s">
        <v>32</v>
      </c>
      <c r="J472" s="9"/>
      <c r="K472" s="9"/>
      <c r="L472" s="9"/>
    </row>
    <row r="473" spans="2:12" ht="15" x14ac:dyDescent="0.25">
      <c r="B473" t="s">
        <v>347</v>
      </c>
      <c r="C473" t="s">
        <v>348</v>
      </c>
      <c r="D473" t="str">
        <f>HYPERLINK("https://rhld.insurance.arkansas.gov/NPILookup?Npi=1366409930","1366409930")</f>
        <v>1366409930</v>
      </c>
      <c r="E473" t="s">
        <v>576</v>
      </c>
      <c r="F473" t="s">
        <v>12</v>
      </c>
      <c r="G473" s="20">
        <v>1</v>
      </c>
      <c r="H473" t="s">
        <v>4338</v>
      </c>
      <c r="I473" t="s">
        <v>32</v>
      </c>
      <c r="J473" s="9"/>
      <c r="K473" s="9"/>
      <c r="L473" s="9"/>
    </row>
    <row r="474" spans="2:12" ht="15" x14ac:dyDescent="0.25">
      <c r="B474" t="s">
        <v>347</v>
      </c>
      <c r="C474" t="s">
        <v>348</v>
      </c>
      <c r="D474" t="str">
        <f>HYPERLINK("https://rhld.insurance.arkansas.gov/NPILookup?Npi=1366432247","1366432247")</f>
        <v>1366432247</v>
      </c>
      <c r="E474" t="s">
        <v>577</v>
      </c>
      <c r="F474" t="s">
        <v>12</v>
      </c>
      <c r="G474" s="20">
        <v>1</v>
      </c>
      <c r="H474" t="s">
        <v>4338</v>
      </c>
      <c r="I474" t="s">
        <v>32</v>
      </c>
      <c r="J474" s="9"/>
      <c r="K474" s="9"/>
      <c r="L474" s="9"/>
    </row>
    <row r="475" spans="2:12" ht="15" x14ac:dyDescent="0.25">
      <c r="B475" t="s">
        <v>347</v>
      </c>
      <c r="C475" t="s">
        <v>348</v>
      </c>
      <c r="D475" t="str">
        <f>HYPERLINK("https://rhld.insurance.arkansas.gov/NPILookup?Npi=1366438384","1366438384")</f>
        <v>1366438384</v>
      </c>
      <c r="E475" t="s">
        <v>578</v>
      </c>
      <c r="F475" t="s">
        <v>12</v>
      </c>
      <c r="G475" s="20">
        <v>1</v>
      </c>
      <c r="H475" t="s">
        <v>4338</v>
      </c>
      <c r="I475" t="s">
        <v>32</v>
      </c>
      <c r="J475" s="9"/>
      <c r="K475" s="9"/>
      <c r="L475" s="9"/>
    </row>
    <row r="476" spans="2:12" ht="15" x14ac:dyDescent="0.25">
      <c r="B476" t="s">
        <v>347</v>
      </c>
      <c r="C476" t="s">
        <v>348</v>
      </c>
      <c r="D476" t="str">
        <f>HYPERLINK("https://rhld.insurance.arkansas.gov/NPILookup?Npi=1366485393","1366485393")</f>
        <v>1366485393</v>
      </c>
      <c r="E476" t="s">
        <v>579</v>
      </c>
      <c r="F476" t="s">
        <v>12</v>
      </c>
      <c r="G476" s="20">
        <v>1</v>
      </c>
      <c r="H476" t="s">
        <v>4338</v>
      </c>
      <c r="I476" t="s">
        <v>32</v>
      </c>
      <c r="J476" s="9"/>
      <c r="K476" s="9"/>
      <c r="L476" s="9"/>
    </row>
    <row r="477" spans="2:12" ht="15" x14ac:dyDescent="0.25">
      <c r="B477" t="s">
        <v>347</v>
      </c>
      <c r="C477" t="s">
        <v>348</v>
      </c>
      <c r="D477" t="str">
        <f>HYPERLINK("https://rhld.insurance.arkansas.gov/NPILookup?Npi=1366622508","1366622508")</f>
        <v>1366622508</v>
      </c>
      <c r="E477" t="s">
        <v>102</v>
      </c>
      <c r="F477" t="s">
        <v>12</v>
      </c>
      <c r="G477" s="20">
        <v>1</v>
      </c>
      <c r="H477" t="s">
        <v>139</v>
      </c>
      <c r="I477" t="s">
        <v>32</v>
      </c>
      <c r="J477" s="9"/>
      <c r="K477" s="9"/>
      <c r="L477" s="9"/>
    </row>
    <row r="478" spans="2:12" ht="15" x14ac:dyDescent="0.25">
      <c r="B478" t="s">
        <v>347</v>
      </c>
      <c r="C478" t="s">
        <v>348</v>
      </c>
      <c r="D478" t="str">
        <f>HYPERLINK("https://rhld.insurance.arkansas.gov/NPILookup?Npi=1376122358","1376122358")</f>
        <v>1376122358</v>
      </c>
      <c r="E478" t="s">
        <v>583</v>
      </c>
      <c r="F478" t="s">
        <v>13</v>
      </c>
      <c r="G478" s="20">
        <v>2</v>
      </c>
      <c r="H478" t="s">
        <v>439</v>
      </c>
      <c r="I478" t="s">
        <v>4357</v>
      </c>
      <c r="J478" s="9"/>
      <c r="K478" s="9"/>
      <c r="L478" s="9"/>
    </row>
    <row r="479" spans="2:12" ht="15" x14ac:dyDescent="0.25">
      <c r="B479" t="s">
        <v>347</v>
      </c>
      <c r="C479" t="s">
        <v>348</v>
      </c>
      <c r="D479" t="str">
        <f>HYPERLINK("https://rhld.insurance.arkansas.gov/NPILookup?Npi=1376583393","1376583393")</f>
        <v>1376583393</v>
      </c>
      <c r="E479" t="s">
        <v>585</v>
      </c>
      <c r="F479" t="s">
        <v>13</v>
      </c>
      <c r="G479" s="20">
        <v>1</v>
      </c>
      <c r="H479" t="s">
        <v>87</v>
      </c>
      <c r="I479" t="s">
        <v>32</v>
      </c>
      <c r="J479" s="9"/>
      <c r="K479" s="9"/>
      <c r="L479" s="9"/>
    </row>
    <row r="480" spans="2:12" ht="15" x14ac:dyDescent="0.25">
      <c r="B480" t="s">
        <v>347</v>
      </c>
      <c r="C480" t="s">
        <v>348</v>
      </c>
      <c r="D480" t="str">
        <f>HYPERLINK("https://rhld.insurance.arkansas.gov/NPILookup?Npi=1376562132","1376562132")</f>
        <v>1376562132</v>
      </c>
      <c r="E480" t="s">
        <v>584</v>
      </c>
      <c r="F480" t="s">
        <v>12</v>
      </c>
      <c r="G480" s="20">
        <v>1</v>
      </c>
      <c r="H480" t="s">
        <v>4338</v>
      </c>
      <c r="I480" t="s">
        <v>32</v>
      </c>
      <c r="J480" s="9"/>
      <c r="K480" s="9"/>
      <c r="L480" s="9"/>
    </row>
    <row r="481" spans="2:12" ht="15" x14ac:dyDescent="0.25">
      <c r="B481" t="s">
        <v>347</v>
      </c>
      <c r="C481" t="s">
        <v>348</v>
      </c>
      <c r="D481" t="str">
        <f>HYPERLINK("https://rhld.insurance.arkansas.gov/NPILookup?Npi=1376740092","1376740092")</f>
        <v>1376740092</v>
      </c>
      <c r="E481" t="s">
        <v>587</v>
      </c>
      <c r="F481" t="s">
        <v>13</v>
      </c>
      <c r="G481" s="20">
        <v>1</v>
      </c>
      <c r="H481" t="s">
        <v>4357</v>
      </c>
      <c r="I481" t="s">
        <v>4357</v>
      </c>
      <c r="J481" s="9"/>
      <c r="K481" s="9"/>
      <c r="L481" s="9"/>
    </row>
    <row r="482" spans="2:12" ht="15" x14ac:dyDescent="0.25">
      <c r="B482" t="s">
        <v>347</v>
      </c>
      <c r="C482" t="s">
        <v>348</v>
      </c>
      <c r="D482" t="str">
        <f>HYPERLINK("https://rhld.insurance.arkansas.gov/NPILookup?Npi=1376589754","1376589754")</f>
        <v>1376589754</v>
      </c>
      <c r="E482" t="s">
        <v>586</v>
      </c>
      <c r="F482" t="s">
        <v>12</v>
      </c>
      <c r="G482" s="20">
        <v>1</v>
      </c>
      <c r="H482" t="s">
        <v>4338</v>
      </c>
      <c r="I482" t="s">
        <v>32</v>
      </c>
      <c r="J482" s="9"/>
      <c r="K482" s="9"/>
      <c r="L482" s="9"/>
    </row>
    <row r="483" spans="2:12" ht="15" x14ac:dyDescent="0.25">
      <c r="B483" t="s">
        <v>347</v>
      </c>
      <c r="C483" t="s">
        <v>348</v>
      </c>
      <c r="D483" t="str">
        <f>HYPERLINK("https://rhld.insurance.arkansas.gov/NPILookup?Npi=1417057159","1417057159")</f>
        <v>1417057159</v>
      </c>
      <c r="E483" t="s">
        <v>600</v>
      </c>
      <c r="F483" t="s">
        <v>13</v>
      </c>
      <c r="G483" s="20">
        <v>1</v>
      </c>
      <c r="H483" t="s">
        <v>87</v>
      </c>
      <c r="I483" t="s">
        <v>32</v>
      </c>
      <c r="J483" s="9"/>
      <c r="K483" s="9"/>
      <c r="L483" s="9"/>
    </row>
    <row r="484" spans="2:12" ht="15" x14ac:dyDescent="0.25">
      <c r="B484" t="s">
        <v>347</v>
      </c>
      <c r="C484" t="s">
        <v>348</v>
      </c>
      <c r="D484" t="str">
        <f>HYPERLINK("https://rhld.insurance.arkansas.gov/NPILookup?Npi=1386026862","1386026862")</f>
        <v>1386026862</v>
      </c>
      <c r="E484" t="s">
        <v>588</v>
      </c>
      <c r="F484" t="s">
        <v>12</v>
      </c>
      <c r="G484" s="20">
        <v>1</v>
      </c>
      <c r="H484" t="s">
        <v>4338</v>
      </c>
      <c r="I484" t="s">
        <v>4357</v>
      </c>
      <c r="J484" s="9"/>
      <c r="K484" s="9"/>
      <c r="L484" s="9"/>
    </row>
    <row r="485" spans="2:12" ht="15" x14ac:dyDescent="0.25">
      <c r="B485" t="s">
        <v>347</v>
      </c>
      <c r="C485" t="s">
        <v>348</v>
      </c>
      <c r="D485" t="str">
        <f>HYPERLINK("https://rhld.insurance.arkansas.gov/NPILookup?Npi=1386703619","1386703619")</f>
        <v>1386703619</v>
      </c>
      <c r="E485" t="s">
        <v>590</v>
      </c>
      <c r="F485" t="s">
        <v>12</v>
      </c>
      <c r="G485" s="20">
        <v>1</v>
      </c>
      <c r="H485" t="s">
        <v>4338</v>
      </c>
      <c r="I485" t="s">
        <v>32</v>
      </c>
      <c r="J485" s="9"/>
      <c r="K485" s="9"/>
      <c r="L485" s="9"/>
    </row>
    <row r="486" spans="2:12" ht="15" x14ac:dyDescent="0.25">
      <c r="B486" t="s">
        <v>347</v>
      </c>
      <c r="C486" t="s">
        <v>348</v>
      </c>
      <c r="D486" t="str">
        <f>HYPERLINK("https://rhld.insurance.arkansas.gov/NPILookup?Npi=1386953487","1386953487")</f>
        <v>1386953487</v>
      </c>
      <c r="E486" t="s">
        <v>200</v>
      </c>
      <c r="F486" t="s">
        <v>12</v>
      </c>
      <c r="G486" s="20">
        <v>1</v>
      </c>
      <c r="H486" t="s">
        <v>4338</v>
      </c>
      <c r="I486" t="s">
        <v>32</v>
      </c>
      <c r="J486" s="9"/>
      <c r="K486" s="9"/>
      <c r="L486" s="9"/>
    </row>
    <row r="487" spans="2:12" ht="15" x14ac:dyDescent="0.25">
      <c r="B487" t="s">
        <v>347</v>
      </c>
      <c r="C487" t="s">
        <v>348</v>
      </c>
      <c r="D487" t="str">
        <f>HYPERLINK("https://rhld.insurance.arkansas.gov/NPILookup?Npi=1396776761","1396776761")</f>
        <v>1396776761</v>
      </c>
      <c r="E487" t="s">
        <v>592</v>
      </c>
      <c r="F487" t="s">
        <v>12</v>
      </c>
      <c r="G487" s="20">
        <v>1</v>
      </c>
      <c r="H487" t="s">
        <v>139</v>
      </c>
      <c r="I487" t="s">
        <v>4357</v>
      </c>
      <c r="J487" s="9"/>
      <c r="K487" s="9"/>
      <c r="L487" s="9"/>
    </row>
    <row r="488" spans="2:12" ht="15" x14ac:dyDescent="0.25">
      <c r="B488" t="s">
        <v>347</v>
      </c>
      <c r="C488" t="s">
        <v>348</v>
      </c>
      <c r="D488" t="str">
        <f>HYPERLINK("https://rhld.insurance.arkansas.gov/NPILookup?Npi=1396935466","1396935466")</f>
        <v>1396935466</v>
      </c>
      <c r="E488" t="s">
        <v>593</v>
      </c>
      <c r="F488" t="s">
        <v>12</v>
      </c>
      <c r="G488" s="20">
        <v>1</v>
      </c>
      <c r="H488" t="s">
        <v>4338</v>
      </c>
      <c r="I488" t="s">
        <v>32</v>
      </c>
      <c r="J488" s="9"/>
      <c r="K488" s="9"/>
      <c r="L488" s="9"/>
    </row>
    <row r="489" spans="2:12" ht="15" x14ac:dyDescent="0.25">
      <c r="B489" t="s">
        <v>347</v>
      </c>
      <c r="C489" t="s">
        <v>348</v>
      </c>
      <c r="D489" t="str">
        <f>HYPERLINK("https://rhld.insurance.arkansas.gov/NPILookup?Npi=1396951687","1396951687")</f>
        <v>1396951687</v>
      </c>
      <c r="E489" t="s">
        <v>594</v>
      </c>
      <c r="F489" t="s">
        <v>12</v>
      </c>
      <c r="G489" s="20">
        <v>1</v>
      </c>
      <c r="H489" t="s">
        <v>139</v>
      </c>
      <c r="I489" t="s">
        <v>4357</v>
      </c>
      <c r="J489" s="9"/>
      <c r="K489" s="9"/>
      <c r="L489" s="9"/>
    </row>
    <row r="490" spans="2:12" ht="15" x14ac:dyDescent="0.25">
      <c r="B490" t="s">
        <v>347</v>
      </c>
      <c r="C490" t="s">
        <v>348</v>
      </c>
      <c r="D490" t="str">
        <f>HYPERLINK("https://rhld.insurance.arkansas.gov/NPILookup?Npi=1407046600","1407046600")</f>
        <v>1407046600</v>
      </c>
      <c r="E490" t="s">
        <v>595</v>
      </c>
      <c r="F490" t="s">
        <v>12</v>
      </c>
      <c r="G490" s="20">
        <v>1</v>
      </c>
      <c r="H490" t="s">
        <v>4338</v>
      </c>
      <c r="I490" t="s">
        <v>32</v>
      </c>
      <c r="J490" s="9"/>
      <c r="K490" s="9"/>
      <c r="L490" s="9"/>
    </row>
    <row r="491" spans="2:12" ht="15" x14ac:dyDescent="0.25">
      <c r="B491" t="s">
        <v>347</v>
      </c>
      <c r="C491" t="s">
        <v>348</v>
      </c>
      <c r="D491" t="str">
        <f>HYPERLINK("https://rhld.insurance.arkansas.gov/NPILookup?Npi=1407197684","1407197684")</f>
        <v>1407197684</v>
      </c>
      <c r="E491" t="s">
        <v>596</v>
      </c>
      <c r="F491" t="s">
        <v>12</v>
      </c>
      <c r="G491" s="20">
        <v>1</v>
      </c>
      <c r="H491" t="s">
        <v>4338</v>
      </c>
      <c r="I491" t="s">
        <v>32</v>
      </c>
      <c r="J491" s="9"/>
      <c r="K491" s="9"/>
      <c r="L491" s="9"/>
    </row>
    <row r="492" spans="2:12" ht="15" x14ac:dyDescent="0.25">
      <c r="B492" t="s">
        <v>347</v>
      </c>
      <c r="C492" t="s">
        <v>348</v>
      </c>
      <c r="D492" t="str">
        <f>HYPERLINK("https://rhld.insurance.arkansas.gov/NPILookup?Npi=1407218779","1407218779")</f>
        <v>1407218779</v>
      </c>
      <c r="E492" t="s">
        <v>105</v>
      </c>
      <c r="F492" t="s">
        <v>12</v>
      </c>
      <c r="G492" s="20">
        <v>1</v>
      </c>
      <c r="H492" t="s">
        <v>139</v>
      </c>
      <c r="I492" t="s">
        <v>4357</v>
      </c>
      <c r="J492" s="9"/>
      <c r="K492" s="9"/>
      <c r="L492" s="9"/>
    </row>
    <row r="493" spans="2:12" ht="15" x14ac:dyDescent="0.25">
      <c r="B493" t="s">
        <v>347</v>
      </c>
      <c r="C493" t="s">
        <v>348</v>
      </c>
      <c r="D493" t="str">
        <f>HYPERLINK("https://rhld.insurance.arkansas.gov/NPILookup?Npi=1407380082","1407380082")</f>
        <v>1407380082</v>
      </c>
      <c r="E493" t="s">
        <v>597</v>
      </c>
      <c r="F493" t="s">
        <v>12</v>
      </c>
      <c r="G493" s="20">
        <v>1</v>
      </c>
      <c r="H493" t="s">
        <v>4338</v>
      </c>
      <c r="I493" t="s">
        <v>32</v>
      </c>
      <c r="J493" s="9"/>
      <c r="K493" s="9"/>
      <c r="L493" s="9"/>
    </row>
    <row r="494" spans="2:12" ht="15" x14ac:dyDescent="0.25">
      <c r="B494" t="s">
        <v>347</v>
      </c>
      <c r="C494" t="s">
        <v>348</v>
      </c>
      <c r="D494" t="str">
        <f>HYPERLINK("https://rhld.insurance.arkansas.gov/NPILookup?Npi=1407389208","1407389208")</f>
        <v>1407389208</v>
      </c>
      <c r="E494" t="s">
        <v>598</v>
      </c>
      <c r="F494" t="s">
        <v>12</v>
      </c>
      <c r="G494" s="20">
        <v>1</v>
      </c>
      <c r="H494" t="s">
        <v>139</v>
      </c>
      <c r="I494" t="s">
        <v>32</v>
      </c>
      <c r="J494" s="9"/>
      <c r="K494" s="9"/>
      <c r="L494" s="9"/>
    </row>
    <row r="495" spans="2:12" ht="15" x14ac:dyDescent="0.25">
      <c r="B495" t="s">
        <v>347</v>
      </c>
      <c r="C495" t="s">
        <v>348</v>
      </c>
      <c r="D495" t="str">
        <f>HYPERLINK("https://rhld.insurance.arkansas.gov/NPILookup?Npi=1407898588","1407898588")</f>
        <v>1407898588</v>
      </c>
      <c r="E495" t="s">
        <v>599</v>
      </c>
      <c r="F495" t="s">
        <v>12</v>
      </c>
      <c r="G495" s="20">
        <v>1</v>
      </c>
      <c r="H495" t="s">
        <v>4338</v>
      </c>
      <c r="I495" t="s">
        <v>32</v>
      </c>
      <c r="J495" s="9"/>
      <c r="K495" s="9"/>
      <c r="L495" s="9"/>
    </row>
    <row r="496" spans="2:12" ht="15" x14ac:dyDescent="0.25">
      <c r="B496" t="s">
        <v>347</v>
      </c>
      <c r="C496" t="s">
        <v>348</v>
      </c>
      <c r="D496" t="str">
        <f>HYPERLINK("https://rhld.insurance.arkansas.gov/NPILookup?Npi=1417111964","1417111964")</f>
        <v>1417111964</v>
      </c>
      <c r="E496" t="s">
        <v>601</v>
      </c>
      <c r="F496" t="s">
        <v>13</v>
      </c>
      <c r="G496" s="20">
        <v>1</v>
      </c>
      <c r="H496" t="s">
        <v>87</v>
      </c>
      <c r="I496" t="s">
        <v>4357</v>
      </c>
      <c r="J496" s="9"/>
      <c r="K496" s="9"/>
      <c r="L496" s="9"/>
    </row>
    <row r="497" spans="2:12" ht="15" x14ac:dyDescent="0.25">
      <c r="B497" t="s">
        <v>347</v>
      </c>
      <c r="C497" t="s">
        <v>348</v>
      </c>
      <c r="D497" t="str">
        <f>HYPERLINK("https://rhld.insurance.arkansas.gov/NPILookup?Npi=1417299413","1417299413")</f>
        <v>1417299413</v>
      </c>
      <c r="E497" t="s">
        <v>603</v>
      </c>
      <c r="F497" t="s">
        <v>13</v>
      </c>
      <c r="G497" s="20">
        <v>1</v>
      </c>
      <c r="H497" t="s">
        <v>87</v>
      </c>
      <c r="I497" t="s">
        <v>4357</v>
      </c>
      <c r="J497" s="9"/>
      <c r="K497" s="9"/>
      <c r="L497" s="9"/>
    </row>
    <row r="498" spans="2:12" ht="15" x14ac:dyDescent="0.25">
      <c r="B498" t="s">
        <v>347</v>
      </c>
      <c r="C498" t="s">
        <v>348</v>
      </c>
      <c r="D498" t="str">
        <f>HYPERLINK("https://rhld.insurance.arkansas.gov/NPILookup?Npi=1417155078","1417155078")</f>
        <v>1417155078</v>
      </c>
      <c r="E498" t="s">
        <v>602</v>
      </c>
      <c r="F498" t="s">
        <v>12</v>
      </c>
      <c r="G498" s="20">
        <v>1</v>
      </c>
      <c r="H498" t="s">
        <v>4338</v>
      </c>
      <c r="I498" t="s">
        <v>32</v>
      </c>
      <c r="J498" s="9"/>
      <c r="K498" s="9"/>
      <c r="L498" s="9"/>
    </row>
    <row r="499" spans="2:12" ht="15" x14ac:dyDescent="0.25">
      <c r="B499" t="s">
        <v>347</v>
      </c>
      <c r="C499" t="s">
        <v>348</v>
      </c>
      <c r="D499" t="str">
        <f>HYPERLINK("https://rhld.insurance.arkansas.gov/NPILookup?Npi=1417343724","1417343724")</f>
        <v>1417343724</v>
      </c>
      <c r="E499" t="s">
        <v>604</v>
      </c>
      <c r="F499" t="s">
        <v>13</v>
      </c>
      <c r="G499" s="20">
        <v>1</v>
      </c>
      <c r="H499" t="s">
        <v>87</v>
      </c>
      <c r="I499" t="s">
        <v>32</v>
      </c>
      <c r="J499" s="9"/>
      <c r="K499" s="9"/>
      <c r="L499" s="9"/>
    </row>
    <row r="500" spans="2:12" ht="15" x14ac:dyDescent="0.25">
      <c r="B500" t="s">
        <v>347</v>
      </c>
      <c r="C500" t="s">
        <v>348</v>
      </c>
      <c r="D500" t="str">
        <f>HYPERLINK("https://rhld.insurance.arkansas.gov/NPILookup?Npi=1427004829","1427004829")</f>
        <v>1427004829</v>
      </c>
      <c r="E500" t="s">
        <v>606</v>
      </c>
      <c r="F500" t="s">
        <v>13</v>
      </c>
      <c r="G500" s="20">
        <v>1</v>
      </c>
      <c r="H500" t="s">
        <v>87</v>
      </c>
      <c r="I500" t="s">
        <v>32</v>
      </c>
      <c r="J500" s="9"/>
      <c r="K500" s="9"/>
      <c r="L500" s="9"/>
    </row>
    <row r="501" spans="2:12" ht="15" x14ac:dyDescent="0.25">
      <c r="B501" t="s">
        <v>347</v>
      </c>
      <c r="C501" t="s">
        <v>348</v>
      </c>
      <c r="D501" t="str">
        <f>HYPERLINK("https://rhld.insurance.arkansas.gov/NPILookup?Npi=1417925314","1417925314")</f>
        <v>1417925314</v>
      </c>
      <c r="E501" t="s">
        <v>605</v>
      </c>
      <c r="F501" t="s">
        <v>12</v>
      </c>
      <c r="G501" s="20">
        <v>1</v>
      </c>
      <c r="H501" t="s">
        <v>4338</v>
      </c>
      <c r="I501" t="s">
        <v>32</v>
      </c>
      <c r="J501" s="9"/>
      <c r="K501" s="9"/>
      <c r="L501" s="9"/>
    </row>
    <row r="502" spans="2:12" ht="15" x14ac:dyDescent="0.25">
      <c r="B502" t="s">
        <v>347</v>
      </c>
      <c r="C502" t="s">
        <v>348</v>
      </c>
      <c r="D502" t="str">
        <f>HYPERLINK("https://rhld.insurance.arkansas.gov/NPILookup?Npi=1437223146","1437223146")</f>
        <v>1437223146</v>
      </c>
      <c r="E502" t="s">
        <v>613</v>
      </c>
      <c r="F502" t="s">
        <v>13</v>
      </c>
      <c r="G502" s="20">
        <v>1</v>
      </c>
      <c r="H502" t="s">
        <v>87</v>
      </c>
      <c r="I502" t="s">
        <v>32</v>
      </c>
      <c r="J502" s="9"/>
      <c r="K502" s="9"/>
      <c r="L502" s="9"/>
    </row>
    <row r="503" spans="2:12" ht="15" x14ac:dyDescent="0.25">
      <c r="B503" t="s">
        <v>347</v>
      </c>
      <c r="C503" t="s">
        <v>348</v>
      </c>
      <c r="D503" t="str">
        <f>HYPERLINK("https://rhld.insurance.arkansas.gov/NPILookup?Npi=1427011030","1427011030")</f>
        <v>1427011030</v>
      </c>
      <c r="E503" t="s">
        <v>607</v>
      </c>
      <c r="F503" t="s">
        <v>12</v>
      </c>
      <c r="G503" s="20">
        <v>1</v>
      </c>
      <c r="H503" t="s">
        <v>4338</v>
      </c>
      <c r="I503" t="s">
        <v>32</v>
      </c>
      <c r="J503" s="9"/>
      <c r="K503" s="9"/>
      <c r="L503" s="9"/>
    </row>
    <row r="504" spans="2:12" ht="15" x14ac:dyDescent="0.25">
      <c r="B504" t="s">
        <v>347</v>
      </c>
      <c r="C504" t="s">
        <v>348</v>
      </c>
      <c r="D504" t="str">
        <f>HYPERLINK("https://rhld.insurance.arkansas.gov/NPILookup?Npi=1427011410","1427011410")</f>
        <v>1427011410</v>
      </c>
      <c r="E504" t="s">
        <v>608</v>
      </c>
      <c r="F504" t="s">
        <v>12</v>
      </c>
      <c r="G504" s="20">
        <v>1</v>
      </c>
      <c r="H504" t="s">
        <v>4338</v>
      </c>
      <c r="I504" t="s">
        <v>32</v>
      </c>
      <c r="J504" s="9"/>
      <c r="K504" s="9"/>
      <c r="L504" s="9"/>
    </row>
    <row r="505" spans="2:12" ht="15" x14ac:dyDescent="0.25">
      <c r="B505" t="s">
        <v>347</v>
      </c>
      <c r="C505" t="s">
        <v>348</v>
      </c>
      <c r="D505" t="str">
        <f>HYPERLINK("https://rhld.insurance.arkansas.gov/NPILookup?Npi=1427070606","1427070606")</f>
        <v>1427070606</v>
      </c>
      <c r="E505" t="s">
        <v>609</v>
      </c>
      <c r="F505" t="s">
        <v>12</v>
      </c>
      <c r="G505" s="20">
        <v>1</v>
      </c>
      <c r="H505" t="s">
        <v>4338</v>
      </c>
      <c r="I505" t="s">
        <v>32</v>
      </c>
      <c r="J505" s="9"/>
      <c r="K505" s="9"/>
      <c r="L505" s="9"/>
    </row>
    <row r="506" spans="2:12" ht="15" x14ac:dyDescent="0.25">
      <c r="B506" t="s">
        <v>347</v>
      </c>
      <c r="C506" t="s">
        <v>348</v>
      </c>
      <c r="D506" t="str">
        <f>HYPERLINK("https://rhld.insurance.arkansas.gov/NPILookup?Npi=1427589811","1427589811")</f>
        <v>1427589811</v>
      </c>
      <c r="E506" t="s">
        <v>610</v>
      </c>
      <c r="F506" t="s">
        <v>12</v>
      </c>
      <c r="G506" s="20">
        <v>1</v>
      </c>
      <c r="H506" t="s">
        <v>4338</v>
      </c>
      <c r="I506" t="s">
        <v>32</v>
      </c>
      <c r="J506" s="9"/>
      <c r="K506" s="9"/>
      <c r="L506" s="9"/>
    </row>
    <row r="507" spans="2:12" ht="15" x14ac:dyDescent="0.25">
      <c r="B507" t="s">
        <v>347</v>
      </c>
      <c r="C507" t="s">
        <v>348</v>
      </c>
      <c r="D507" t="str">
        <f>HYPERLINK("https://rhld.insurance.arkansas.gov/NPILookup?Npi=1437107703","1437107703")</f>
        <v>1437107703</v>
      </c>
      <c r="E507" t="s">
        <v>611</v>
      </c>
      <c r="F507" t="s">
        <v>12</v>
      </c>
      <c r="G507" s="20">
        <v>1</v>
      </c>
      <c r="H507" t="s">
        <v>4338</v>
      </c>
      <c r="I507" t="s">
        <v>32</v>
      </c>
      <c r="J507" s="9"/>
      <c r="K507" s="9"/>
      <c r="L507" s="9"/>
    </row>
    <row r="508" spans="2:12" ht="15" x14ac:dyDescent="0.25">
      <c r="B508" t="s">
        <v>347</v>
      </c>
      <c r="C508" t="s">
        <v>348</v>
      </c>
      <c r="D508" t="str">
        <f>HYPERLINK("https://rhld.insurance.arkansas.gov/NPILookup?Npi=1437189255","1437189255")</f>
        <v>1437189255</v>
      </c>
      <c r="E508" t="s">
        <v>612</v>
      </c>
      <c r="F508" t="s">
        <v>12</v>
      </c>
      <c r="G508" s="20">
        <v>1</v>
      </c>
      <c r="H508" t="s">
        <v>4338</v>
      </c>
      <c r="I508" t="s">
        <v>32</v>
      </c>
      <c r="J508" s="9"/>
      <c r="K508" s="9"/>
      <c r="L508" s="9"/>
    </row>
    <row r="509" spans="2:12" ht="15" x14ac:dyDescent="0.25">
      <c r="B509" t="s">
        <v>347</v>
      </c>
      <c r="C509" t="s">
        <v>348</v>
      </c>
      <c r="D509" t="str">
        <f>HYPERLINK("https://rhld.insurance.arkansas.gov/NPILookup?Npi=1437252657","1437252657")</f>
        <v>1437252657</v>
      </c>
      <c r="E509" t="s">
        <v>614</v>
      </c>
      <c r="F509" t="s">
        <v>13</v>
      </c>
      <c r="G509" s="20">
        <v>2</v>
      </c>
      <c r="H509" t="s">
        <v>439</v>
      </c>
      <c r="I509" t="s">
        <v>4357</v>
      </c>
      <c r="J509" s="9"/>
      <c r="K509" s="9"/>
      <c r="L509" s="9"/>
    </row>
    <row r="510" spans="2:12" ht="15" x14ac:dyDescent="0.25">
      <c r="B510" t="s">
        <v>347</v>
      </c>
      <c r="C510" t="s">
        <v>348</v>
      </c>
      <c r="D510" t="str">
        <f>HYPERLINK("https://rhld.insurance.arkansas.gov/NPILookup?Npi=1447340005","1447340005")</f>
        <v>1447340005</v>
      </c>
      <c r="E510" t="s">
        <v>623</v>
      </c>
      <c r="F510" t="s">
        <v>13</v>
      </c>
      <c r="G510" s="20">
        <v>1</v>
      </c>
      <c r="H510" t="s">
        <v>87</v>
      </c>
      <c r="I510" t="s">
        <v>32</v>
      </c>
      <c r="J510" s="9"/>
      <c r="K510" s="9"/>
      <c r="L510" s="9"/>
    </row>
    <row r="511" spans="2:12" ht="15" x14ac:dyDescent="0.25">
      <c r="B511" t="s">
        <v>347</v>
      </c>
      <c r="C511" t="s">
        <v>348</v>
      </c>
      <c r="D511" t="str">
        <f>HYPERLINK("https://rhld.insurance.arkansas.gov/NPILookup?Npi=1437350600","1437350600")</f>
        <v>1437350600</v>
      </c>
      <c r="E511" t="s">
        <v>616</v>
      </c>
      <c r="F511" t="s">
        <v>12</v>
      </c>
      <c r="G511" s="20">
        <v>1</v>
      </c>
      <c r="H511" t="s">
        <v>4338</v>
      </c>
      <c r="I511" t="s">
        <v>32</v>
      </c>
      <c r="J511" s="9"/>
      <c r="K511" s="9"/>
      <c r="L511" s="9"/>
    </row>
    <row r="512" spans="2:12" ht="15" x14ac:dyDescent="0.25">
      <c r="B512" t="s">
        <v>347</v>
      </c>
      <c r="C512" t="s">
        <v>348</v>
      </c>
      <c r="D512" t="str">
        <f>HYPERLINK("https://rhld.insurance.arkansas.gov/NPILookup?Npi=1437376548","1437376548")</f>
        <v>1437376548</v>
      </c>
      <c r="E512" t="s">
        <v>617</v>
      </c>
      <c r="F512" t="s">
        <v>12</v>
      </c>
      <c r="G512" s="20">
        <v>1</v>
      </c>
      <c r="H512" t="s">
        <v>4338</v>
      </c>
      <c r="I512" t="s">
        <v>32</v>
      </c>
      <c r="J512" s="9"/>
      <c r="K512" s="9"/>
      <c r="L512" s="9"/>
    </row>
    <row r="513" spans="2:12" ht="15" x14ac:dyDescent="0.25">
      <c r="B513" t="s">
        <v>347</v>
      </c>
      <c r="C513" t="s">
        <v>348</v>
      </c>
      <c r="D513" t="str">
        <f>HYPERLINK("https://rhld.insurance.arkansas.gov/NPILookup?Npi=1437504040","1437504040")</f>
        <v>1437504040</v>
      </c>
      <c r="E513" t="s">
        <v>618</v>
      </c>
      <c r="F513" t="s">
        <v>12</v>
      </c>
      <c r="G513" s="20">
        <v>1</v>
      </c>
      <c r="H513" t="s">
        <v>4338</v>
      </c>
      <c r="I513" t="s">
        <v>32</v>
      </c>
      <c r="J513" s="9"/>
      <c r="K513" s="9"/>
      <c r="L513" s="9"/>
    </row>
    <row r="514" spans="2:12" ht="15" x14ac:dyDescent="0.25">
      <c r="B514" t="s">
        <v>347</v>
      </c>
      <c r="C514" t="s">
        <v>348</v>
      </c>
      <c r="D514" t="str">
        <f>HYPERLINK("https://rhld.insurance.arkansas.gov/NPILookup?Npi=1437693389","1437693389")</f>
        <v>1437693389</v>
      </c>
      <c r="E514" t="s">
        <v>619</v>
      </c>
      <c r="F514" t="s">
        <v>12</v>
      </c>
      <c r="G514" s="20">
        <v>1</v>
      </c>
      <c r="H514" t="s">
        <v>4338</v>
      </c>
      <c r="I514" t="s">
        <v>32</v>
      </c>
      <c r="J514" s="9"/>
      <c r="K514" s="9"/>
      <c r="L514" s="9"/>
    </row>
    <row r="515" spans="2:12" ht="15" x14ac:dyDescent="0.25">
      <c r="B515" t="s">
        <v>347</v>
      </c>
      <c r="C515" t="s">
        <v>348</v>
      </c>
      <c r="D515" t="str">
        <f>HYPERLINK("https://rhld.insurance.arkansas.gov/NPILookup?Npi=1447223060","1447223060")</f>
        <v>1447223060</v>
      </c>
      <c r="E515" t="s">
        <v>620</v>
      </c>
      <c r="F515" t="s">
        <v>12</v>
      </c>
      <c r="G515" s="20">
        <v>1</v>
      </c>
      <c r="H515" t="s">
        <v>4338</v>
      </c>
      <c r="I515" t="s">
        <v>32</v>
      </c>
      <c r="J515" s="9"/>
      <c r="K515" s="9"/>
      <c r="L515" s="9"/>
    </row>
    <row r="516" spans="2:12" ht="15" x14ac:dyDescent="0.25">
      <c r="B516" t="s">
        <v>347</v>
      </c>
      <c r="C516" t="s">
        <v>348</v>
      </c>
      <c r="D516" t="str">
        <f>HYPERLINK("https://rhld.insurance.arkansas.gov/NPILookup?Npi=1447240080","1447240080")</f>
        <v>1447240080</v>
      </c>
      <c r="E516" t="s">
        <v>621</v>
      </c>
      <c r="F516" t="s">
        <v>12</v>
      </c>
      <c r="G516" s="20">
        <v>1</v>
      </c>
      <c r="H516" t="s">
        <v>4338</v>
      </c>
      <c r="I516" t="s">
        <v>32</v>
      </c>
      <c r="J516" s="9"/>
      <c r="K516" s="9"/>
      <c r="L516" s="9"/>
    </row>
    <row r="517" spans="2:12" ht="15" x14ac:dyDescent="0.25">
      <c r="B517" t="s">
        <v>347</v>
      </c>
      <c r="C517" t="s">
        <v>348</v>
      </c>
      <c r="D517" t="str">
        <f>HYPERLINK("https://rhld.insurance.arkansas.gov/NPILookup?Npi=1447275656","1447275656")</f>
        <v>1447275656</v>
      </c>
      <c r="E517" t="s">
        <v>622</v>
      </c>
      <c r="F517" t="s">
        <v>12</v>
      </c>
      <c r="G517" s="20">
        <v>1</v>
      </c>
      <c r="H517" t="s">
        <v>4338</v>
      </c>
      <c r="I517" t="s">
        <v>32</v>
      </c>
      <c r="J517" s="9"/>
      <c r="K517" s="9"/>
      <c r="L517" s="9"/>
    </row>
    <row r="518" spans="2:12" ht="15" x14ac:dyDescent="0.25">
      <c r="B518" t="s">
        <v>347</v>
      </c>
      <c r="C518" t="s">
        <v>348</v>
      </c>
      <c r="D518" t="str">
        <f>HYPERLINK("https://rhld.insurance.arkansas.gov/NPILookup?Npi=1518908375","1518908375")</f>
        <v>1518908375</v>
      </c>
      <c r="E518" t="s">
        <v>665</v>
      </c>
      <c r="F518" t="s">
        <v>13</v>
      </c>
      <c r="G518" s="20">
        <v>1</v>
      </c>
      <c r="H518" t="s">
        <v>87</v>
      </c>
      <c r="I518" t="s">
        <v>32</v>
      </c>
      <c r="J518" s="9"/>
      <c r="K518" s="9"/>
      <c r="L518" s="9"/>
    </row>
    <row r="519" spans="2:12" ht="15" x14ac:dyDescent="0.25">
      <c r="B519" t="s">
        <v>347</v>
      </c>
      <c r="C519" t="s">
        <v>348</v>
      </c>
      <c r="D519" t="str">
        <f>HYPERLINK("https://rhld.insurance.arkansas.gov/NPILookup?Npi=1447363833","1447363833")</f>
        <v>1447363833</v>
      </c>
      <c r="E519" t="s">
        <v>624</v>
      </c>
      <c r="F519" t="s">
        <v>12</v>
      </c>
      <c r="G519" s="20">
        <v>1</v>
      </c>
      <c r="H519" t="s">
        <v>139</v>
      </c>
      <c r="I519" t="s">
        <v>32</v>
      </c>
      <c r="J519" s="9"/>
      <c r="K519" s="9"/>
      <c r="L519" s="9"/>
    </row>
    <row r="520" spans="2:12" ht="15" x14ac:dyDescent="0.25">
      <c r="B520" t="s">
        <v>347</v>
      </c>
      <c r="C520" t="s">
        <v>348</v>
      </c>
      <c r="D520" t="str">
        <f>HYPERLINK("https://rhld.insurance.arkansas.gov/NPILookup?Npi=1447579073","1447579073")</f>
        <v>1447579073</v>
      </c>
      <c r="E520" t="s">
        <v>625</v>
      </c>
      <c r="F520" t="s">
        <v>12</v>
      </c>
      <c r="G520" s="20">
        <v>1</v>
      </c>
      <c r="H520" t="s">
        <v>4338</v>
      </c>
      <c r="I520" t="s">
        <v>32</v>
      </c>
      <c r="J520" s="9"/>
      <c r="K520" s="9"/>
      <c r="L520" s="9"/>
    </row>
    <row r="521" spans="2:12" ht="15" x14ac:dyDescent="0.25">
      <c r="B521" t="s">
        <v>347</v>
      </c>
      <c r="C521" t="s">
        <v>348</v>
      </c>
      <c r="D521" t="str">
        <f>HYPERLINK("https://rhld.insurance.arkansas.gov/NPILookup?Npi=1447791645","1447791645")</f>
        <v>1447791645</v>
      </c>
      <c r="E521" t="s">
        <v>626</v>
      </c>
      <c r="F521" t="s">
        <v>12</v>
      </c>
      <c r="G521" s="20">
        <v>1</v>
      </c>
      <c r="H521" t="s">
        <v>139</v>
      </c>
      <c r="I521" t="s">
        <v>32</v>
      </c>
      <c r="J521" s="9"/>
      <c r="K521" s="9"/>
      <c r="L521" s="9"/>
    </row>
    <row r="522" spans="2:12" ht="15" x14ac:dyDescent="0.25">
      <c r="B522" t="s">
        <v>347</v>
      </c>
      <c r="C522" t="s">
        <v>348</v>
      </c>
      <c r="D522" t="str">
        <f>HYPERLINK("https://rhld.insurance.arkansas.gov/NPILookup?Npi=1457413858","1457413858")</f>
        <v>1457413858</v>
      </c>
      <c r="E522" t="s">
        <v>627</v>
      </c>
      <c r="F522" t="s">
        <v>12</v>
      </c>
      <c r="G522" s="20">
        <v>1</v>
      </c>
      <c r="H522" t="s">
        <v>139</v>
      </c>
      <c r="I522" t="s">
        <v>32</v>
      </c>
      <c r="J522" s="9"/>
      <c r="K522" s="9"/>
      <c r="L522" s="9"/>
    </row>
    <row r="523" spans="2:12" ht="15" x14ac:dyDescent="0.25">
      <c r="B523" t="s">
        <v>347</v>
      </c>
      <c r="C523" t="s">
        <v>348</v>
      </c>
      <c r="D523" t="str">
        <f>HYPERLINK("https://rhld.insurance.arkansas.gov/NPILookup?Npi=1457555294","1457555294")</f>
        <v>1457555294</v>
      </c>
      <c r="E523" t="s">
        <v>628</v>
      </c>
      <c r="F523" t="s">
        <v>12</v>
      </c>
      <c r="G523" s="20">
        <v>1</v>
      </c>
      <c r="H523" t="s">
        <v>139</v>
      </c>
      <c r="I523" t="s">
        <v>32</v>
      </c>
      <c r="J523" s="9"/>
      <c r="K523" s="9"/>
      <c r="L523" s="9"/>
    </row>
    <row r="524" spans="2:12" ht="15" x14ac:dyDescent="0.25">
      <c r="B524" t="s">
        <v>347</v>
      </c>
      <c r="C524" t="s">
        <v>348</v>
      </c>
      <c r="D524" t="str">
        <f>HYPERLINK("https://rhld.insurance.arkansas.gov/NPILookup?Npi=1457585739","1457585739")</f>
        <v>1457585739</v>
      </c>
      <c r="E524" t="s">
        <v>629</v>
      </c>
      <c r="F524" t="s">
        <v>12</v>
      </c>
      <c r="G524" s="20">
        <v>1</v>
      </c>
      <c r="H524" t="s">
        <v>4338</v>
      </c>
      <c r="I524" t="s">
        <v>32</v>
      </c>
      <c r="J524" s="9"/>
      <c r="K524" s="9"/>
      <c r="L524" s="9"/>
    </row>
    <row r="525" spans="2:12" ht="15" x14ac:dyDescent="0.25">
      <c r="B525" t="s">
        <v>347</v>
      </c>
      <c r="C525" t="s">
        <v>348</v>
      </c>
      <c r="D525" t="str">
        <f>HYPERLINK("https://rhld.insurance.arkansas.gov/NPILookup?Npi=1457645830","1457645830")</f>
        <v>1457645830</v>
      </c>
      <c r="E525" t="s">
        <v>630</v>
      </c>
      <c r="F525" t="s">
        <v>12</v>
      </c>
      <c r="G525" s="20">
        <v>1</v>
      </c>
      <c r="H525" t="s">
        <v>4338</v>
      </c>
      <c r="I525" t="s">
        <v>32</v>
      </c>
      <c r="J525" s="9"/>
      <c r="K525" s="9"/>
      <c r="L525" s="9"/>
    </row>
    <row r="526" spans="2:12" ht="15" x14ac:dyDescent="0.25">
      <c r="B526" t="s">
        <v>347</v>
      </c>
      <c r="C526" t="s">
        <v>348</v>
      </c>
      <c r="D526" t="str">
        <f>HYPERLINK("https://rhld.insurance.arkansas.gov/NPILookup?Npi=1457716813","1457716813")</f>
        <v>1457716813</v>
      </c>
      <c r="E526" t="s">
        <v>631</v>
      </c>
      <c r="F526" t="s">
        <v>12</v>
      </c>
      <c r="G526" s="20">
        <v>1</v>
      </c>
      <c r="H526" t="s">
        <v>4338</v>
      </c>
      <c r="I526" t="s">
        <v>32</v>
      </c>
      <c r="J526" s="9"/>
      <c r="K526" s="9"/>
      <c r="L526" s="9"/>
    </row>
    <row r="527" spans="2:12" ht="15" x14ac:dyDescent="0.25">
      <c r="B527" t="s">
        <v>347</v>
      </c>
      <c r="C527" t="s">
        <v>348</v>
      </c>
      <c r="D527" t="str">
        <f>HYPERLINK("https://rhld.insurance.arkansas.gov/NPILookup?Npi=1467436758","1467436758")</f>
        <v>1467436758</v>
      </c>
      <c r="E527" t="s">
        <v>632</v>
      </c>
      <c r="F527" t="s">
        <v>12</v>
      </c>
      <c r="G527" s="20">
        <v>1</v>
      </c>
      <c r="H527" t="s">
        <v>4338</v>
      </c>
      <c r="I527" t="s">
        <v>32</v>
      </c>
      <c r="J527" s="9"/>
      <c r="K527" s="9"/>
      <c r="L527" s="9"/>
    </row>
    <row r="528" spans="2:12" ht="15" x14ac:dyDescent="0.25">
      <c r="B528" t="s">
        <v>347</v>
      </c>
      <c r="C528" t="s">
        <v>348</v>
      </c>
      <c r="D528" t="str">
        <f>HYPERLINK("https://rhld.insurance.arkansas.gov/NPILookup?Npi=1467488791","1467488791")</f>
        <v>1467488791</v>
      </c>
      <c r="E528" t="s">
        <v>633</v>
      </c>
      <c r="F528" t="s">
        <v>12</v>
      </c>
      <c r="G528" s="20">
        <v>1</v>
      </c>
      <c r="H528" t="s">
        <v>4338</v>
      </c>
      <c r="I528" t="s">
        <v>32</v>
      </c>
      <c r="J528" s="9"/>
      <c r="K528" s="9"/>
      <c r="L528" s="9"/>
    </row>
    <row r="529" spans="2:12" ht="15" x14ac:dyDescent="0.25">
      <c r="B529" t="s">
        <v>347</v>
      </c>
      <c r="C529" t="s">
        <v>348</v>
      </c>
      <c r="D529" t="str">
        <f>HYPERLINK("https://rhld.insurance.arkansas.gov/NPILookup?Npi=1467498154","1467498154")</f>
        <v>1467498154</v>
      </c>
      <c r="E529" t="s">
        <v>634</v>
      </c>
      <c r="F529" t="s">
        <v>12</v>
      </c>
      <c r="G529" s="20">
        <v>1</v>
      </c>
      <c r="H529" t="s">
        <v>139</v>
      </c>
      <c r="I529" t="s">
        <v>32</v>
      </c>
      <c r="J529" s="9"/>
      <c r="K529" s="9"/>
      <c r="L529" s="9"/>
    </row>
    <row r="530" spans="2:12" ht="15" x14ac:dyDescent="0.25">
      <c r="B530" t="s">
        <v>347</v>
      </c>
      <c r="C530" t="s">
        <v>348</v>
      </c>
      <c r="D530" t="str">
        <f>HYPERLINK("https://rhld.insurance.arkansas.gov/NPILookup?Npi=1467715656","1467715656")</f>
        <v>1467715656</v>
      </c>
      <c r="E530" t="s">
        <v>635</v>
      </c>
      <c r="F530" t="s">
        <v>12</v>
      </c>
      <c r="G530" s="20">
        <v>1</v>
      </c>
      <c r="H530" t="s">
        <v>4338</v>
      </c>
      <c r="I530" t="s">
        <v>32</v>
      </c>
      <c r="J530" s="9"/>
      <c r="K530" s="9"/>
      <c r="L530" s="9"/>
    </row>
    <row r="531" spans="2:12" ht="15" x14ac:dyDescent="0.25">
      <c r="B531" t="s">
        <v>347</v>
      </c>
      <c r="C531" t="s">
        <v>348</v>
      </c>
      <c r="D531" t="str">
        <f>HYPERLINK("https://rhld.insurance.arkansas.gov/NPILookup?Npi=1477085728","1477085728")</f>
        <v>1477085728</v>
      </c>
      <c r="E531" t="s">
        <v>636</v>
      </c>
      <c r="F531" t="s">
        <v>12</v>
      </c>
      <c r="G531" s="20">
        <v>1</v>
      </c>
      <c r="H531" t="s">
        <v>4338</v>
      </c>
      <c r="I531" t="s">
        <v>32</v>
      </c>
      <c r="J531" s="9"/>
      <c r="K531" s="9"/>
      <c r="L531" s="9"/>
    </row>
    <row r="532" spans="2:12" ht="15" x14ac:dyDescent="0.25">
      <c r="B532" t="s">
        <v>347</v>
      </c>
      <c r="C532" t="s">
        <v>348</v>
      </c>
      <c r="D532" t="str">
        <f>HYPERLINK("https://rhld.insurance.arkansas.gov/NPILookup?Npi=1477660637","1477660637")</f>
        <v>1477660637</v>
      </c>
      <c r="E532" t="s">
        <v>637</v>
      </c>
      <c r="F532" t="s">
        <v>12</v>
      </c>
      <c r="G532" s="20">
        <v>1</v>
      </c>
      <c r="H532" t="s">
        <v>4338</v>
      </c>
      <c r="I532" t="s">
        <v>32</v>
      </c>
      <c r="J532" s="9"/>
      <c r="K532" s="9"/>
      <c r="L532" s="9"/>
    </row>
    <row r="533" spans="2:12" ht="15" x14ac:dyDescent="0.25">
      <c r="B533" t="s">
        <v>347</v>
      </c>
      <c r="C533" t="s">
        <v>348</v>
      </c>
      <c r="D533" t="str">
        <f>HYPERLINK("https://rhld.insurance.arkansas.gov/NPILookup?Npi=1477738342","1477738342")</f>
        <v>1477738342</v>
      </c>
      <c r="E533" t="s">
        <v>638</v>
      </c>
      <c r="F533" t="s">
        <v>12</v>
      </c>
      <c r="G533" s="20">
        <v>1</v>
      </c>
      <c r="H533" t="s">
        <v>4338</v>
      </c>
      <c r="I533" t="s">
        <v>32</v>
      </c>
      <c r="J533" s="9"/>
      <c r="K533" s="9"/>
      <c r="L533" s="9"/>
    </row>
    <row r="534" spans="2:12" ht="15" x14ac:dyDescent="0.25">
      <c r="B534" t="s">
        <v>347</v>
      </c>
      <c r="C534" t="s">
        <v>348</v>
      </c>
      <c r="D534" t="str">
        <f>HYPERLINK("https://rhld.insurance.arkansas.gov/NPILookup?Npi=1477915593","1477915593")</f>
        <v>1477915593</v>
      </c>
      <c r="E534" t="s">
        <v>639</v>
      </c>
      <c r="F534" t="s">
        <v>12</v>
      </c>
      <c r="G534" s="20">
        <v>1</v>
      </c>
      <c r="H534" t="s">
        <v>4338</v>
      </c>
      <c r="I534" t="s">
        <v>32</v>
      </c>
      <c r="J534" s="9"/>
      <c r="K534" s="9"/>
      <c r="L534" s="9"/>
    </row>
    <row r="535" spans="2:12" ht="15" x14ac:dyDescent="0.25">
      <c r="B535" t="s">
        <v>347</v>
      </c>
      <c r="C535" t="s">
        <v>348</v>
      </c>
      <c r="D535" t="str">
        <f>HYPERLINK("https://rhld.insurance.arkansas.gov/NPILookup?Npi=1487114997","1487114997")</f>
        <v>1487114997</v>
      </c>
      <c r="E535" t="s">
        <v>640</v>
      </c>
      <c r="F535" t="s">
        <v>12</v>
      </c>
      <c r="G535" s="20">
        <v>1</v>
      </c>
      <c r="H535" t="s">
        <v>139</v>
      </c>
      <c r="I535" t="s">
        <v>32</v>
      </c>
      <c r="J535" s="9"/>
      <c r="K535" s="9"/>
      <c r="L535" s="9"/>
    </row>
    <row r="536" spans="2:12" ht="15" x14ac:dyDescent="0.25">
      <c r="B536" t="s">
        <v>347</v>
      </c>
      <c r="C536" t="s">
        <v>348</v>
      </c>
      <c r="D536" t="str">
        <f>HYPERLINK("https://rhld.insurance.arkansas.gov/NPILookup?Npi=1487815387","1487815387")</f>
        <v>1487815387</v>
      </c>
      <c r="E536" t="s">
        <v>641</v>
      </c>
      <c r="F536" t="s">
        <v>12</v>
      </c>
      <c r="G536" s="20">
        <v>1</v>
      </c>
      <c r="H536" t="s">
        <v>4338</v>
      </c>
      <c r="I536" t="s">
        <v>32</v>
      </c>
      <c r="J536" s="9"/>
      <c r="K536" s="9"/>
      <c r="L536" s="9"/>
    </row>
    <row r="537" spans="2:12" ht="15" x14ac:dyDescent="0.25">
      <c r="B537" t="s">
        <v>347</v>
      </c>
      <c r="C537" t="s">
        <v>348</v>
      </c>
      <c r="D537" t="str">
        <f>HYPERLINK("https://rhld.insurance.arkansas.gov/NPILookup?Npi=1487850053","1487850053")</f>
        <v>1487850053</v>
      </c>
      <c r="E537" t="s">
        <v>642</v>
      </c>
      <c r="F537" t="s">
        <v>12</v>
      </c>
      <c r="G537" s="20">
        <v>1</v>
      </c>
      <c r="H537" t="s">
        <v>4338</v>
      </c>
      <c r="I537" t="s">
        <v>4357</v>
      </c>
      <c r="J537" s="9"/>
      <c r="K537" s="9"/>
      <c r="L537" s="9"/>
    </row>
    <row r="538" spans="2:12" ht="15" x14ac:dyDescent="0.25">
      <c r="B538" t="s">
        <v>347</v>
      </c>
      <c r="C538" t="s">
        <v>348</v>
      </c>
      <c r="D538" t="str">
        <f>HYPERLINK("https://rhld.insurance.arkansas.gov/NPILookup?Npi=1487881892","1487881892")</f>
        <v>1487881892</v>
      </c>
      <c r="E538" t="s">
        <v>643</v>
      </c>
      <c r="F538" t="s">
        <v>12</v>
      </c>
      <c r="G538" s="20">
        <v>1</v>
      </c>
      <c r="H538" t="s">
        <v>4338</v>
      </c>
      <c r="I538" t="s">
        <v>32</v>
      </c>
      <c r="J538" s="9"/>
      <c r="K538" s="9"/>
      <c r="L538" s="9"/>
    </row>
    <row r="539" spans="2:12" ht="15" x14ac:dyDescent="0.25">
      <c r="B539" t="s">
        <v>347</v>
      </c>
      <c r="C539" t="s">
        <v>348</v>
      </c>
      <c r="D539" t="str">
        <f>HYPERLINK("https://rhld.insurance.arkansas.gov/NPILookup?Npi=1487897401","1487897401")</f>
        <v>1487897401</v>
      </c>
      <c r="E539" t="s">
        <v>644</v>
      </c>
      <c r="F539" t="s">
        <v>12</v>
      </c>
      <c r="G539" s="20">
        <v>1</v>
      </c>
      <c r="H539" t="s">
        <v>4338</v>
      </c>
      <c r="I539" t="s">
        <v>32</v>
      </c>
      <c r="J539" s="9"/>
      <c r="K539" s="9"/>
      <c r="L539" s="9"/>
    </row>
    <row r="540" spans="2:12" ht="15" x14ac:dyDescent="0.25">
      <c r="B540" t="s">
        <v>347</v>
      </c>
      <c r="C540" t="s">
        <v>348</v>
      </c>
      <c r="D540" t="str">
        <f>HYPERLINK("https://rhld.insurance.arkansas.gov/NPILookup?Npi=1487917811","1487917811")</f>
        <v>1487917811</v>
      </c>
      <c r="E540" t="s">
        <v>645</v>
      </c>
      <c r="F540" t="s">
        <v>12</v>
      </c>
      <c r="G540" s="20">
        <v>1</v>
      </c>
      <c r="H540" t="s">
        <v>4338</v>
      </c>
      <c r="I540" t="s">
        <v>32</v>
      </c>
      <c r="J540" s="9"/>
      <c r="K540" s="9"/>
      <c r="L540" s="9"/>
    </row>
    <row r="541" spans="2:12" ht="15" x14ac:dyDescent="0.25">
      <c r="B541" t="s">
        <v>347</v>
      </c>
      <c r="C541" t="s">
        <v>348</v>
      </c>
      <c r="D541" t="str">
        <f>HYPERLINK("https://rhld.insurance.arkansas.gov/NPILookup?Npi=1497046015","1497046015")</f>
        <v>1497046015</v>
      </c>
      <c r="E541" t="s">
        <v>646</v>
      </c>
      <c r="F541" t="s">
        <v>12</v>
      </c>
      <c r="G541" s="20">
        <v>1</v>
      </c>
      <c r="H541" t="s">
        <v>4338</v>
      </c>
      <c r="I541" t="s">
        <v>32</v>
      </c>
      <c r="J541" s="9"/>
      <c r="K541" s="9"/>
      <c r="L541" s="9"/>
    </row>
    <row r="542" spans="2:12" ht="15" x14ac:dyDescent="0.25">
      <c r="B542" t="s">
        <v>347</v>
      </c>
      <c r="C542" t="s">
        <v>348</v>
      </c>
      <c r="D542" t="str">
        <f>HYPERLINK("https://rhld.insurance.arkansas.gov/NPILookup?Npi=1497263222","1497263222")</f>
        <v>1497263222</v>
      </c>
      <c r="E542" t="s">
        <v>647</v>
      </c>
      <c r="F542" t="s">
        <v>12</v>
      </c>
      <c r="G542" s="20">
        <v>1</v>
      </c>
      <c r="H542" t="s">
        <v>4338</v>
      </c>
      <c r="I542" t="s">
        <v>32</v>
      </c>
      <c r="J542" s="9"/>
      <c r="K542" s="9"/>
      <c r="L542" s="9"/>
    </row>
    <row r="543" spans="2:12" ht="15" x14ac:dyDescent="0.25">
      <c r="B543" t="s">
        <v>347</v>
      </c>
      <c r="C543" t="s">
        <v>348</v>
      </c>
      <c r="D543" t="str">
        <f>HYPERLINK("https://rhld.insurance.arkansas.gov/NPILookup?Npi=1497336770","1497336770")</f>
        <v>1497336770</v>
      </c>
      <c r="E543" t="s">
        <v>648</v>
      </c>
      <c r="F543" t="s">
        <v>12</v>
      </c>
      <c r="G543" s="20">
        <v>1</v>
      </c>
      <c r="H543" t="s">
        <v>4338</v>
      </c>
      <c r="I543" t="s">
        <v>32</v>
      </c>
      <c r="J543" s="9"/>
      <c r="K543" s="9"/>
      <c r="L543" s="9"/>
    </row>
    <row r="544" spans="2:12" ht="15" x14ac:dyDescent="0.25">
      <c r="B544" t="s">
        <v>347</v>
      </c>
      <c r="C544" t="s">
        <v>348</v>
      </c>
      <c r="D544" t="str">
        <f>HYPERLINK("https://rhld.insurance.arkansas.gov/NPILookup?Npi=1497745830","1497745830")</f>
        <v>1497745830</v>
      </c>
      <c r="E544" t="s">
        <v>649</v>
      </c>
      <c r="F544" t="s">
        <v>12</v>
      </c>
      <c r="G544" s="20">
        <v>1</v>
      </c>
      <c r="H544" t="s">
        <v>4338</v>
      </c>
      <c r="I544" t="s">
        <v>32</v>
      </c>
      <c r="J544" s="9"/>
      <c r="K544" s="9"/>
      <c r="L544" s="9"/>
    </row>
    <row r="545" spans="2:12" ht="15" x14ac:dyDescent="0.25">
      <c r="B545" t="s">
        <v>347</v>
      </c>
      <c r="C545" t="s">
        <v>348</v>
      </c>
      <c r="D545" t="str">
        <f>HYPERLINK("https://rhld.insurance.arkansas.gov/NPILookup?Npi=1497781298","1497781298")</f>
        <v>1497781298</v>
      </c>
      <c r="E545" t="s">
        <v>650</v>
      </c>
      <c r="F545" t="s">
        <v>12</v>
      </c>
      <c r="G545" s="20">
        <v>1</v>
      </c>
      <c r="H545" t="s">
        <v>4338</v>
      </c>
      <c r="I545" t="s">
        <v>4357</v>
      </c>
      <c r="J545" s="9"/>
      <c r="K545" s="9"/>
      <c r="L545" s="9"/>
    </row>
    <row r="546" spans="2:12" ht="15" x14ac:dyDescent="0.25">
      <c r="B546" t="s">
        <v>347</v>
      </c>
      <c r="C546" t="s">
        <v>348</v>
      </c>
      <c r="D546" t="str">
        <f>HYPERLINK("https://rhld.insurance.arkansas.gov/NPILookup?Npi=1497833610","1497833610")</f>
        <v>1497833610</v>
      </c>
      <c r="E546" t="s">
        <v>651</v>
      </c>
      <c r="F546" t="s">
        <v>12</v>
      </c>
      <c r="G546" s="20">
        <v>1</v>
      </c>
      <c r="H546" t="s">
        <v>4338</v>
      </c>
      <c r="I546" t="s">
        <v>32</v>
      </c>
      <c r="J546" s="9"/>
      <c r="K546" s="9"/>
      <c r="L546" s="9"/>
    </row>
    <row r="547" spans="2:12" ht="15" x14ac:dyDescent="0.25">
      <c r="B547" t="s">
        <v>347</v>
      </c>
      <c r="C547" t="s">
        <v>348</v>
      </c>
      <c r="D547" t="str">
        <f>HYPERLINK("https://rhld.insurance.arkansas.gov/NPILookup?Npi=1497866149","1497866149")</f>
        <v>1497866149</v>
      </c>
      <c r="E547" t="s">
        <v>652</v>
      </c>
      <c r="F547" t="s">
        <v>12</v>
      </c>
      <c r="G547" s="20">
        <v>1</v>
      </c>
      <c r="H547" t="s">
        <v>4338</v>
      </c>
      <c r="I547" t="s">
        <v>32</v>
      </c>
      <c r="J547" s="9"/>
      <c r="K547" s="9"/>
      <c r="L547" s="9"/>
    </row>
    <row r="548" spans="2:12" ht="15" x14ac:dyDescent="0.25">
      <c r="B548" t="s">
        <v>347</v>
      </c>
      <c r="C548" t="s">
        <v>348</v>
      </c>
      <c r="D548" t="str">
        <f>HYPERLINK("https://rhld.insurance.arkansas.gov/NPILookup?Npi=1508213984","1508213984")</f>
        <v>1508213984</v>
      </c>
      <c r="E548" t="s">
        <v>653</v>
      </c>
      <c r="F548" t="s">
        <v>12</v>
      </c>
      <c r="G548" s="20">
        <v>1</v>
      </c>
      <c r="H548" t="s">
        <v>4338</v>
      </c>
      <c r="I548" t="s">
        <v>32</v>
      </c>
      <c r="J548" s="9"/>
      <c r="K548" s="9"/>
      <c r="L548" s="9"/>
    </row>
    <row r="549" spans="2:12" ht="15" x14ac:dyDescent="0.25">
      <c r="B549" t="s">
        <v>347</v>
      </c>
      <c r="C549" t="s">
        <v>348</v>
      </c>
      <c r="D549" t="str">
        <f>HYPERLINK("https://rhld.insurance.arkansas.gov/NPILookup?Npi=1508800707","1508800707")</f>
        <v>1508800707</v>
      </c>
      <c r="E549" t="s">
        <v>654</v>
      </c>
      <c r="F549" t="s">
        <v>12</v>
      </c>
      <c r="G549" s="20">
        <v>1</v>
      </c>
      <c r="H549" t="s">
        <v>4338</v>
      </c>
      <c r="I549" t="s">
        <v>32</v>
      </c>
      <c r="J549" s="9"/>
      <c r="K549" s="9"/>
      <c r="L549" s="9"/>
    </row>
    <row r="550" spans="2:12" ht="15" x14ac:dyDescent="0.25">
      <c r="B550" t="s">
        <v>347</v>
      </c>
      <c r="C550" t="s">
        <v>348</v>
      </c>
      <c r="D550" t="str">
        <f>HYPERLINK("https://rhld.insurance.arkansas.gov/NPILookup?Npi=1508810375","1508810375")</f>
        <v>1508810375</v>
      </c>
      <c r="E550" t="s">
        <v>655</v>
      </c>
      <c r="F550" t="s">
        <v>12</v>
      </c>
      <c r="G550" s="20">
        <v>1</v>
      </c>
      <c r="H550" t="s">
        <v>4338</v>
      </c>
      <c r="I550" t="s">
        <v>32</v>
      </c>
      <c r="J550" s="9"/>
      <c r="K550" s="9"/>
      <c r="L550" s="9"/>
    </row>
    <row r="551" spans="2:12" ht="15" x14ac:dyDescent="0.25">
      <c r="B551" t="s">
        <v>347</v>
      </c>
      <c r="C551" t="s">
        <v>348</v>
      </c>
      <c r="D551" t="str">
        <f>HYPERLINK("https://rhld.insurance.arkansas.gov/NPILookup?Npi=1508814617","1508814617")</f>
        <v>1508814617</v>
      </c>
      <c r="E551" t="s">
        <v>656</v>
      </c>
      <c r="F551" t="s">
        <v>12</v>
      </c>
      <c r="G551" s="20">
        <v>1</v>
      </c>
      <c r="H551" t="s">
        <v>4338</v>
      </c>
      <c r="I551" t="s">
        <v>32</v>
      </c>
      <c r="J551" s="9"/>
      <c r="K551" s="9"/>
      <c r="L551" s="9"/>
    </row>
    <row r="552" spans="2:12" ht="15" x14ac:dyDescent="0.25">
      <c r="B552" t="s">
        <v>347</v>
      </c>
      <c r="C552" t="s">
        <v>348</v>
      </c>
      <c r="D552" t="str">
        <f>HYPERLINK("https://rhld.insurance.arkansas.gov/NPILookup?Npi=1508824871","1508824871")</f>
        <v>1508824871</v>
      </c>
      <c r="E552" t="s">
        <v>657</v>
      </c>
      <c r="F552" t="s">
        <v>12</v>
      </c>
      <c r="G552" s="20">
        <v>1</v>
      </c>
      <c r="H552" t="s">
        <v>4338</v>
      </c>
      <c r="I552" t="s">
        <v>32</v>
      </c>
      <c r="J552" s="9"/>
      <c r="K552" s="9"/>
      <c r="L552" s="9"/>
    </row>
    <row r="553" spans="2:12" ht="15" x14ac:dyDescent="0.25">
      <c r="B553" t="s">
        <v>347</v>
      </c>
      <c r="C553" t="s">
        <v>348</v>
      </c>
      <c r="D553" t="str">
        <f>HYPERLINK("https://rhld.insurance.arkansas.gov/NPILookup?Npi=1508827700","1508827700")</f>
        <v>1508827700</v>
      </c>
      <c r="E553" t="s">
        <v>658</v>
      </c>
      <c r="F553" t="s">
        <v>12</v>
      </c>
      <c r="G553" s="20">
        <v>1</v>
      </c>
      <c r="H553" t="s">
        <v>4338</v>
      </c>
      <c r="I553" t="s">
        <v>32</v>
      </c>
      <c r="J553" s="9"/>
      <c r="K553" s="9"/>
      <c r="L553" s="9"/>
    </row>
    <row r="554" spans="2:12" ht="15" x14ac:dyDescent="0.25">
      <c r="B554" t="s">
        <v>347</v>
      </c>
      <c r="C554" t="s">
        <v>348</v>
      </c>
      <c r="D554" t="str">
        <f>HYPERLINK("https://rhld.insurance.arkansas.gov/NPILookup?Npi=1508863267","1508863267")</f>
        <v>1508863267</v>
      </c>
      <c r="E554" t="s">
        <v>659</v>
      </c>
      <c r="F554" t="s">
        <v>12</v>
      </c>
      <c r="G554" s="20">
        <v>2</v>
      </c>
      <c r="H554" t="s">
        <v>4340</v>
      </c>
      <c r="I554" t="s">
        <v>32</v>
      </c>
      <c r="J554" s="9"/>
      <c r="K554" s="9"/>
      <c r="L554" s="9"/>
    </row>
    <row r="555" spans="2:12" ht="15" x14ac:dyDescent="0.25">
      <c r="B555" t="s">
        <v>347</v>
      </c>
      <c r="C555" t="s">
        <v>348</v>
      </c>
      <c r="D555" t="str">
        <f>HYPERLINK("https://rhld.insurance.arkansas.gov/NPILookup?Npi=1508990730","1508990730")</f>
        <v>1508990730</v>
      </c>
      <c r="E555" t="s">
        <v>660</v>
      </c>
      <c r="F555" t="s">
        <v>12</v>
      </c>
      <c r="G555" s="20">
        <v>1</v>
      </c>
      <c r="H555" t="s">
        <v>4338</v>
      </c>
      <c r="I555" t="s">
        <v>32</v>
      </c>
      <c r="J555" s="9"/>
      <c r="K555" s="9"/>
      <c r="L555" s="9"/>
    </row>
    <row r="556" spans="2:12" ht="15" x14ac:dyDescent="0.25">
      <c r="B556" t="s">
        <v>347</v>
      </c>
      <c r="C556" t="s">
        <v>348</v>
      </c>
      <c r="D556" t="str">
        <f>HYPERLINK("https://rhld.insurance.arkansas.gov/NPILookup?Npi=1518190370","1518190370")</f>
        <v>1518190370</v>
      </c>
      <c r="E556" t="s">
        <v>661</v>
      </c>
      <c r="F556" t="s">
        <v>12</v>
      </c>
      <c r="G556" s="20">
        <v>1</v>
      </c>
      <c r="H556" t="s">
        <v>4338</v>
      </c>
      <c r="I556" t="s">
        <v>32</v>
      </c>
      <c r="J556" s="9"/>
      <c r="K556" s="9"/>
      <c r="L556" s="9"/>
    </row>
    <row r="557" spans="2:12" ht="15" x14ac:dyDescent="0.25">
      <c r="B557" t="s">
        <v>347</v>
      </c>
      <c r="C557" t="s">
        <v>348</v>
      </c>
      <c r="D557" t="str">
        <f>HYPERLINK("https://rhld.insurance.arkansas.gov/NPILookup?Npi=1518313667","1518313667")</f>
        <v>1518313667</v>
      </c>
      <c r="E557" t="s">
        <v>662</v>
      </c>
      <c r="F557" t="s">
        <v>12</v>
      </c>
      <c r="G557" s="20">
        <v>1</v>
      </c>
      <c r="H557" t="s">
        <v>4338</v>
      </c>
      <c r="I557" t="s">
        <v>4357</v>
      </c>
      <c r="J557" s="9"/>
      <c r="K557" s="9"/>
      <c r="L557" s="9"/>
    </row>
    <row r="558" spans="2:12" ht="15" x14ac:dyDescent="0.25">
      <c r="B558" t="s">
        <v>347</v>
      </c>
      <c r="C558" t="s">
        <v>348</v>
      </c>
      <c r="D558" t="str">
        <f>HYPERLINK("https://rhld.insurance.arkansas.gov/NPILookup?Npi=1518491182","1518491182")</f>
        <v>1518491182</v>
      </c>
      <c r="E558" t="s">
        <v>663</v>
      </c>
      <c r="F558" t="s">
        <v>12</v>
      </c>
      <c r="G558" s="20">
        <v>1</v>
      </c>
      <c r="H558" t="s">
        <v>4338</v>
      </c>
      <c r="I558" t="s">
        <v>32</v>
      </c>
      <c r="J558" s="9"/>
      <c r="K558" s="9"/>
      <c r="L558" s="9"/>
    </row>
    <row r="559" spans="2:12" ht="15" x14ac:dyDescent="0.25">
      <c r="B559" t="s">
        <v>347</v>
      </c>
      <c r="C559" t="s">
        <v>348</v>
      </c>
      <c r="D559" t="str">
        <f>HYPERLINK("https://rhld.insurance.arkansas.gov/NPILookup?Npi=1518499888","1518499888")</f>
        <v>1518499888</v>
      </c>
      <c r="E559" t="s">
        <v>664</v>
      </c>
      <c r="F559" t="s">
        <v>12</v>
      </c>
      <c r="G559" s="20">
        <v>1</v>
      </c>
      <c r="H559" t="s">
        <v>4338</v>
      </c>
      <c r="I559" t="s">
        <v>32</v>
      </c>
      <c r="J559" s="9"/>
      <c r="K559" s="9"/>
      <c r="L559" s="9"/>
    </row>
    <row r="560" spans="2:12" ht="15" x14ac:dyDescent="0.25">
      <c r="B560" t="s">
        <v>347</v>
      </c>
      <c r="C560" t="s">
        <v>348</v>
      </c>
      <c r="D560" t="str">
        <f>HYPERLINK("https://rhld.insurance.arkansas.gov/NPILookup?Npi=1538123757","1538123757")</f>
        <v>1538123757</v>
      </c>
      <c r="E560" t="s">
        <v>675</v>
      </c>
      <c r="F560" t="s">
        <v>13</v>
      </c>
      <c r="G560" s="20">
        <v>1</v>
      </c>
      <c r="H560" t="s">
        <v>87</v>
      </c>
      <c r="I560" t="s">
        <v>32</v>
      </c>
      <c r="J560" s="9"/>
      <c r="K560" s="9"/>
      <c r="L560" s="9"/>
    </row>
    <row r="561" spans="2:12" ht="15" x14ac:dyDescent="0.25">
      <c r="B561" t="s">
        <v>347</v>
      </c>
      <c r="C561" t="s">
        <v>348</v>
      </c>
      <c r="D561" t="str">
        <f>HYPERLINK("https://rhld.insurance.arkansas.gov/NPILookup?Npi=1518908417","1518908417")</f>
        <v>1518908417</v>
      </c>
      <c r="E561" t="s">
        <v>666</v>
      </c>
      <c r="F561" t="s">
        <v>12</v>
      </c>
      <c r="G561" s="20">
        <v>1</v>
      </c>
      <c r="H561" t="s">
        <v>4338</v>
      </c>
      <c r="I561" t="s">
        <v>32</v>
      </c>
      <c r="J561" s="9"/>
      <c r="K561" s="9"/>
      <c r="L561" s="9"/>
    </row>
    <row r="562" spans="2:12" ht="15" x14ac:dyDescent="0.25">
      <c r="B562" t="s">
        <v>347</v>
      </c>
      <c r="C562" t="s">
        <v>348</v>
      </c>
      <c r="D562" t="str">
        <f>HYPERLINK("https://rhld.insurance.arkansas.gov/NPILookup?Npi=1518949429","1518949429")</f>
        <v>1518949429</v>
      </c>
      <c r="E562" t="s">
        <v>667</v>
      </c>
      <c r="F562" t="s">
        <v>12</v>
      </c>
      <c r="G562" s="20">
        <v>1</v>
      </c>
      <c r="H562" t="s">
        <v>4338</v>
      </c>
      <c r="I562" t="s">
        <v>32</v>
      </c>
      <c r="J562" s="9"/>
      <c r="K562" s="9"/>
      <c r="L562" s="9"/>
    </row>
    <row r="563" spans="2:12" ht="15" x14ac:dyDescent="0.25">
      <c r="B563" t="s">
        <v>347</v>
      </c>
      <c r="C563" t="s">
        <v>348</v>
      </c>
      <c r="D563" t="str">
        <f>HYPERLINK("https://rhld.insurance.arkansas.gov/NPILookup?Npi=1518985753","1518985753")</f>
        <v>1518985753</v>
      </c>
      <c r="E563" t="s">
        <v>668</v>
      </c>
      <c r="F563" t="s">
        <v>12</v>
      </c>
      <c r="G563" s="20">
        <v>1</v>
      </c>
      <c r="H563" t="s">
        <v>4338</v>
      </c>
      <c r="I563" t="s">
        <v>32</v>
      </c>
      <c r="J563" s="9"/>
      <c r="K563" s="9"/>
      <c r="L563" s="9"/>
    </row>
    <row r="564" spans="2:12" ht="15" x14ac:dyDescent="0.25">
      <c r="B564" t="s">
        <v>347</v>
      </c>
      <c r="C564" t="s">
        <v>348</v>
      </c>
      <c r="D564" t="str">
        <f>HYPERLINK("https://rhld.insurance.arkansas.gov/NPILookup?Npi=1518994250","1518994250")</f>
        <v>1518994250</v>
      </c>
      <c r="E564" t="s">
        <v>669</v>
      </c>
      <c r="F564" t="s">
        <v>12</v>
      </c>
      <c r="G564" s="20">
        <v>1</v>
      </c>
      <c r="H564" t="s">
        <v>4338</v>
      </c>
      <c r="I564" t="s">
        <v>32</v>
      </c>
      <c r="J564" s="9"/>
      <c r="K564" s="9"/>
      <c r="L564" s="9"/>
    </row>
    <row r="565" spans="2:12" ht="15" x14ac:dyDescent="0.25">
      <c r="B565" t="s">
        <v>347</v>
      </c>
      <c r="C565" t="s">
        <v>348</v>
      </c>
      <c r="D565" t="str">
        <f>HYPERLINK("https://rhld.insurance.arkansas.gov/NPILookup?Npi=1528013851","1528013851")</f>
        <v>1528013851</v>
      </c>
      <c r="E565" t="s">
        <v>670</v>
      </c>
      <c r="F565" t="s">
        <v>12</v>
      </c>
      <c r="G565" s="20">
        <v>1</v>
      </c>
      <c r="H565" t="s">
        <v>4338</v>
      </c>
      <c r="I565" t="s">
        <v>32</v>
      </c>
      <c r="J565" s="9"/>
      <c r="K565" s="9"/>
      <c r="L565" s="9"/>
    </row>
    <row r="566" spans="2:12" ht="15" x14ac:dyDescent="0.25">
      <c r="B566" t="s">
        <v>347</v>
      </c>
      <c r="C566" t="s">
        <v>348</v>
      </c>
      <c r="D566" t="str">
        <f>HYPERLINK("https://rhld.insurance.arkansas.gov/NPILookup?Npi=1528261617","1528261617")</f>
        <v>1528261617</v>
      </c>
      <c r="E566" t="s">
        <v>671</v>
      </c>
      <c r="F566" t="s">
        <v>12</v>
      </c>
      <c r="G566" s="20">
        <v>1</v>
      </c>
      <c r="H566" t="s">
        <v>4338</v>
      </c>
      <c r="I566" t="s">
        <v>32</v>
      </c>
      <c r="J566" s="9"/>
      <c r="K566" s="9"/>
      <c r="L566" s="9"/>
    </row>
    <row r="567" spans="2:12" ht="15" x14ac:dyDescent="0.25">
      <c r="B567" t="s">
        <v>347</v>
      </c>
      <c r="C567" t="s">
        <v>348</v>
      </c>
      <c r="D567" t="str">
        <f>HYPERLINK("https://rhld.insurance.arkansas.gov/NPILookup?Npi=1528415999","1528415999")</f>
        <v>1528415999</v>
      </c>
      <c r="E567" t="s">
        <v>672</v>
      </c>
      <c r="F567" t="s">
        <v>12</v>
      </c>
      <c r="G567" s="20">
        <v>1</v>
      </c>
      <c r="H567" t="s">
        <v>4338</v>
      </c>
      <c r="I567" t="s">
        <v>32</v>
      </c>
      <c r="J567" s="9"/>
      <c r="K567" s="9"/>
      <c r="L567" s="9"/>
    </row>
    <row r="568" spans="2:12" ht="15" x14ac:dyDescent="0.25">
      <c r="B568" t="s">
        <v>347</v>
      </c>
      <c r="C568" t="s">
        <v>348</v>
      </c>
      <c r="D568" t="str">
        <f>HYPERLINK("https://rhld.insurance.arkansas.gov/NPILookup?Npi=1528446283","1528446283")</f>
        <v>1528446283</v>
      </c>
      <c r="E568" t="s">
        <v>673</v>
      </c>
      <c r="F568" t="s">
        <v>12</v>
      </c>
      <c r="G568" s="20">
        <v>1</v>
      </c>
      <c r="H568" t="s">
        <v>4338</v>
      </c>
      <c r="I568" t="s">
        <v>32</v>
      </c>
      <c r="J568" s="9"/>
      <c r="K568" s="9"/>
      <c r="L568" s="9"/>
    </row>
    <row r="569" spans="2:12" ht="15" x14ac:dyDescent="0.25">
      <c r="B569" t="s">
        <v>347</v>
      </c>
      <c r="C569" t="s">
        <v>348</v>
      </c>
      <c r="D569" t="str">
        <f>HYPERLINK("https://rhld.insurance.arkansas.gov/NPILookup?Npi=1528528809","1528528809")</f>
        <v>1528528809</v>
      </c>
      <c r="E569" t="s">
        <v>674</v>
      </c>
      <c r="F569" t="s">
        <v>12</v>
      </c>
      <c r="G569" s="20">
        <v>1</v>
      </c>
      <c r="H569" t="s">
        <v>4338</v>
      </c>
      <c r="I569" t="s">
        <v>32</v>
      </c>
      <c r="J569" s="9"/>
      <c r="K569" s="9"/>
      <c r="L569" s="9"/>
    </row>
    <row r="570" spans="2:12" ht="15" x14ac:dyDescent="0.25">
      <c r="B570" t="s">
        <v>347</v>
      </c>
      <c r="C570" t="s">
        <v>348</v>
      </c>
      <c r="D570" t="str">
        <f>HYPERLINK("https://rhld.insurance.arkansas.gov/NPILookup?Npi=1538664388","1538664388")</f>
        <v>1538664388</v>
      </c>
      <c r="E570" t="s">
        <v>684</v>
      </c>
      <c r="F570" t="s">
        <v>13</v>
      </c>
      <c r="G570" s="20">
        <v>1</v>
      </c>
      <c r="H570" t="s">
        <v>87</v>
      </c>
      <c r="I570" t="s">
        <v>4357</v>
      </c>
      <c r="J570" s="9"/>
      <c r="K570" s="9"/>
      <c r="L570" s="9"/>
    </row>
    <row r="571" spans="2:12" ht="15" x14ac:dyDescent="0.25">
      <c r="B571" t="s">
        <v>347</v>
      </c>
      <c r="C571" t="s">
        <v>348</v>
      </c>
      <c r="D571" t="str">
        <f>HYPERLINK("https://rhld.insurance.arkansas.gov/NPILookup?Npi=1538134200","1538134200")</f>
        <v>1538134200</v>
      </c>
      <c r="E571" t="s">
        <v>676</v>
      </c>
      <c r="F571" t="s">
        <v>12</v>
      </c>
      <c r="G571" s="20">
        <v>1</v>
      </c>
      <c r="H571" t="s">
        <v>4338</v>
      </c>
      <c r="I571" t="s">
        <v>32</v>
      </c>
      <c r="J571" s="9"/>
      <c r="K571" s="9"/>
      <c r="L571" s="9"/>
    </row>
    <row r="572" spans="2:12" ht="15" x14ac:dyDescent="0.25">
      <c r="B572" t="s">
        <v>347</v>
      </c>
      <c r="C572" t="s">
        <v>348</v>
      </c>
      <c r="D572" t="str">
        <f>HYPERLINK("https://rhld.insurance.arkansas.gov/NPILookup?Npi=1538137633","1538137633")</f>
        <v>1538137633</v>
      </c>
      <c r="E572" t="s">
        <v>677</v>
      </c>
      <c r="F572" t="s">
        <v>12</v>
      </c>
      <c r="G572" s="20">
        <v>1</v>
      </c>
      <c r="H572" t="s">
        <v>4338</v>
      </c>
      <c r="I572" t="s">
        <v>32</v>
      </c>
      <c r="J572" s="9"/>
      <c r="K572" s="9"/>
      <c r="L572" s="9"/>
    </row>
    <row r="573" spans="2:12" ht="15" x14ac:dyDescent="0.25">
      <c r="B573" t="s">
        <v>347</v>
      </c>
      <c r="C573" t="s">
        <v>348</v>
      </c>
      <c r="D573" t="str">
        <f>HYPERLINK("https://rhld.insurance.arkansas.gov/NPILookup?Npi=1538168505","1538168505")</f>
        <v>1538168505</v>
      </c>
      <c r="E573" t="s">
        <v>679</v>
      </c>
      <c r="F573" t="s">
        <v>12</v>
      </c>
      <c r="G573" s="20">
        <v>1</v>
      </c>
      <c r="H573" t="s">
        <v>4338</v>
      </c>
      <c r="I573" t="s">
        <v>32</v>
      </c>
      <c r="J573" s="9"/>
      <c r="K573" s="9"/>
      <c r="L573" s="9"/>
    </row>
    <row r="574" spans="2:12" ht="15" x14ac:dyDescent="0.25">
      <c r="B574" t="s">
        <v>347</v>
      </c>
      <c r="C574" t="s">
        <v>348</v>
      </c>
      <c r="D574" t="str">
        <f>HYPERLINK("https://rhld.insurance.arkansas.gov/NPILookup?Npi=1538187190","1538187190")</f>
        <v>1538187190</v>
      </c>
      <c r="E574" t="s">
        <v>680</v>
      </c>
      <c r="F574" t="s">
        <v>12</v>
      </c>
      <c r="G574" s="20">
        <v>1</v>
      </c>
      <c r="H574" t="s">
        <v>4338</v>
      </c>
      <c r="I574" t="s">
        <v>32</v>
      </c>
      <c r="J574" s="9"/>
      <c r="K574" s="9"/>
      <c r="L574" s="9"/>
    </row>
    <row r="575" spans="2:12" ht="15" x14ac:dyDescent="0.25">
      <c r="B575" t="s">
        <v>347</v>
      </c>
      <c r="C575" t="s">
        <v>348</v>
      </c>
      <c r="D575" t="str">
        <f>HYPERLINK("https://rhld.insurance.arkansas.gov/NPILookup?Npi=1538363577","1538363577")</f>
        <v>1538363577</v>
      </c>
      <c r="E575" t="s">
        <v>681</v>
      </c>
      <c r="F575" t="s">
        <v>12</v>
      </c>
      <c r="G575" s="20">
        <v>1</v>
      </c>
      <c r="H575" t="s">
        <v>4338</v>
      </c>
      <c r="I575" t="s">
        <v>32</v>
      </c>
      <c r="J575" s="9"/>
      <c r="K575" s="9"/>
      <c r="L575" s="9"/>
    </row>
    <row r="576" spans="2:12" ht="15" x14ac:dyDescent="0.25">
      <c r="B576" t="s">
        <v>347</v>
      </c>
      <c r="C576" t="s">
        <v>348</v>
      </c>
      <c r="D576" t="str">
        <f>HYPERLINK("https://rhld.insurance.arkansas.gov/NPILookup?Npi=1538393103","1538393103")</f>
        <v>1538393103</v>
      </c>
      <c r="E576" t="s">
        <v>682</v>
      </c>
      <c r="F576" t="s">
        <v>12</v>
      </c>
      <c r="G576" s="20">
        <v>1</v>
      </c>
      <c r="H576" t="s">
        <v>139</v>
      </c>
      <c r="I576" t="s">
        <v>32</v>
      </c>
      <c r="J576" s="9"/>
      <c r="K576" s="9"/>
      <c r="L576" s="9"/>
    </row>
    <row r="577" spans="2:12" ht="15" x14ac:dyDescent="0.25">
      <c r="B577" t="s">
        <v>347</v>
      </c>
      <c r="C577" t="s">
        <v>348</v>
      </c>
      <c r="D577" t="str">
        <f>HYPERLINK("https://rhld.insurance.arkansas.gov/NPILookup?Npi=1538558812","1538558812")</f>
        <v>1538558812</v>
      </c>
      <c r="E577" t="s">
        <v>683</v>
      </c>
      <c r="F577" t="s">
        <v>12</v>
      </c>
      <c r="G577" s="20">
        <v>1</v>
      </c>
      <c r="H577" t="s">
        <v>4338</v>
      </c>
      <c r="I577" t="s">
        <v>32</v>
      </c>
      <c r="J577" s="9"/>
      <c r="K577" s="9"/>
      <c r="L577" s="9"/>
    </row>
    <row r="578" spans="2:12" ht="15" x14ac:dyDescent="0.25">
      <c r="B578" t="s">
        <v>347</v>
      </c>
      <c r="C578" t="s">
        <v>348</v>
      </c>
      <c r="D578" t="str">
        <f>HYPERLINK("https://rhld.insurance.arkansas.gov/NPILookup?Npi=1568490621","1568490621")</f>
        <v>1568490621</v>
      </c>
      <c r="E578" t="s">
        <v>696</v>
      </c>
      <c r="F578" t="s">
        <v>13</v>
      </c>
      <c r="G578" s="20">
        <v>1</v>
      </c>
      <c r="H578" t="s">
        <v>87</v>
      </c>
      <c r="I578" t="s">
        <v>4357</v>
      </c>
      <c r="J578" s="9"/>
      <c r="K578" s="9"/>
      <c r="L578" s="9"/>
    </row>
    <row r="579" spans="2:12" ht="15" x14ac:dyDescent="0.25">
      <c r="B579" t="s">
        <v>347</v>
      </c>
      <c r="C579" t="s">
        <v>348</v>
      </c>
      <c r="D579" t="str">
        <f>HYPERLINK("https://rhld.insurance.arkansas.gov/NPILookup?Npi=1548580236","1548580236")</f>
        <v>1548580236</v>
      </c>
      <c r="E579" t="s">
        <v>685</v>
      </c>
      <c r="F579" t="s">
        <v>12</v>
      </c>
      <c r="G579" s="20">
        <v>1</v>
      </c>
      <c r="H579" t="s">
        <v>4338</v>
      </c>
      <c r="I579" t="s">
        <v>32</v>
      </c>
      <c r="J579" s="9"/>
      <c r="K579" s="9"/>
      <c r="L579" s="9"/>
    </row>
    <row r="580" spans="2:12" ht="15" x14ac:dyDescent="0.25">
      <c r="B580" t="s">
        <v>347</v>
      </c>
      <c r="C580" t="s">
        <v>348</v>
      </c>
      <c r="D580" t="str">
        <f>HYPERLINK("https://rhld.insurance.arkansas.gov/NPILookup?Npi=1548669823","1548669823")</f>
        <v>1548669823</v>
      </c>
      <c r="E580" t="s">
        <v>686</v>
      </c>
      <c r="F580" t="s">
        <v>12</v>
      </c>
      <c r="G580" s="20">
        <v>1</v>
      </c>
      <c r="H580" t="s">
        <v>4338</v>
      </c>
      <c r="I580" t="s">
        <v>32</v>
      </c>
      <c r="J580" s="9"/>
      <c r="K580" s="9"/>
      <c r="L580" s="9"/>
    </row>
    <row r="581" spans="2:12" ht="15" x14ac:dyDescent="0.25">
      <c r="B581" t="s">
        <v>347</v>
      </c>
      <c r="C581" t="s">
        <v>348</v>
      </c>
      <c r="D581" t="str">
        <f>HYPERLINK("https://rhld.insurance.arkansas.gov/NPILookup?Npi=1548847197","1548847197")</f>
        <v>1548847197</v>
      </c>
      <c r="E581" t="s">
        <v>687</v>
      </c>
      <c r="F581" t="s">
        <v>12</v>
      </c>
      <c r="G581" s="20">
        <v>1</v>
      </c>
      <c r="H581" t="s">
        <v>4338</v>
      </c>
      <c r="I581" t="s">
        <v>32</v>
      </c>
      <c r="J581" s="9"/>
      <c r="K581" s="9"/>
      <c r="L581" s="9"/>
    </row>
    <row r="582" spans="2:12" ht="15" x14ac:dyDescent="0.25">
      <c r="B582" t="s">
        <v>347</v>
      </c>
      <c r="C582" t="s">
        <v>348</v>
      </c>
      <c r="D582" t="str">
        <f>HYPERLINK("https://rhld.insurance.arkansas.gov/NPILookup?Npi=1558321612","1558321612")</f>
        <v>1558321612</v>
      </c>
      <c r="E582" t="s">
        <v>688</v>
      </c>
      <c r="F582" t="s">
        <v>12</v>
      </c>
      <c r="G582" s="20">
        <v>1</v>
      </c>
      <c r="H582" t="s">
        <v>4338</v>
      </c>
      <c r="I582" t="s">
        <v>32</v>
      </c>
      <c r="J582" s="9"/>
      <c r="K582" s="9"/>
      <c r="L582" s="9"/>
    </row>
    <row r="583" spans="2:12" ht="15" x14ac:dyDescent="0.25">
      <c r="B583" t="s">
        <v>347</v>
      </c>
      <c r="C583" t="s">
        <v>348</v>
      </c>
      <c r="D583" t="str">
        <f>HYPERLINK("https://rhld.insurance.arkansas.gov/NPILookup?Npi=1558362194","1558362194")</f>
        <v>1558362194</v>
      </c>
      <c r="E583" t="s">
        <v>689</v>
      </c>
      <c r="F583" t="s">
        <v>12</v>
      </c>
      <c r="G583" s="20">
        <v>1</v>
      </c>
      <c r="H583" t="s">
        <v>4338</v>
      </c>
      <c r="I583" t="s">
        <v>32</v>
      </c>
      <c r="J583" s="9"/>
      <c r="K583" s="9"/>
      <c r="L583" s="9"/>
    </row>
    <row r="584" spans="2:12" ht="15" x14ac:dyDescent="0.25">
      <c r="B584" t="s">
        <v>347</v>
      </c>
      <c r="C584" t="s">
        <v>348</v>
      </c>
      <c r="D584" t="str">
        <f>HYPERLINK("https://rhld.insurance.arkansas.gov/NPILookup?Npi=1558473058","1558473058")</f>
        <v>1558473058</v>
      </c>
      <c r="E584" t="s">
        <v>690</v>
      </c>
      <c r="F584" t="s">
        <v>12</v>
      </c>
      <c r="G584" s="20">
        <v>1</v>
      </c>
      <c r="H584" t="s">
        <v>4338</v>
      </c>
      <c r="I584" t="s">
        <v>32</v>
      </c>
      <c r="J584" s="9"/>
      <c r="K584" s="9"/>
      <c r="L584" s="9"/>
    </row>
    <row r="585" spans="2:12" ht="15" x14ac:dyDescent="0.25">
      <c r="B585" t="s">
        <v>347</v>
      </c>
      <c r="C585" t="s">
        <v>348</v>
      </c>
      <c r="D585" t="str">
        <f>HYPERLINK("https://rhld.insurance.arkansas.gov/NPILookup?Npi=1558477455","1558477455")</f>
        <v>1558477455</v>
      </c>
      <c r="E585" t="s">
        <v>691</v>
      </c>
      <c r="F585" t="s">
        <v>12</v>
      </c>
      <c r="G585" s="20">
        <v>1</v>
      </c>
      <c r="H585" t="s">
        <v>139</v>
      </c>
      <c r="I585" t="s">
        <v>32</v>
      </c>
      <c r="J585" s="9"/>
      <c r="K585" s="9"/>
      <c r="L585" s="9"/>
    </row>
    <row r="586" spans="2:12" ht="15" x14ac:dyDescent="0.25">
      <c r="B586" t="s">
        <v>347</v>
      </c>
      <c r="C586" t="s">
        <v>348</v>
      </c>
      <c r="D586" t="str">
        <f>HYPERLINK("https://rhld.insurance.arkansas.gov/NPILookup?Npi=1558657635","1558657635")</f>
        <v>1558657635</v>
      </c>
      <c r="E586" t="s">
        <v>692</v>
      </c>
      <c r="F586" t="s">
        <v>12</v>
      </c>
      <c r="G586" s="20">
        <v>1</v>
      </c>
      <c r="H586" t="s">
        <v>4338</v>
      </c>
      <c r="I586" t="s">
        <v>32</v>
      </c>
      <c r="J586" s="9"/>
      <c r="K586" s="9"/>
      <c r="L586" s="9"/>
    </row>
    <row r="587" spans="2:12" ht="15" x14ac:dyDescent="0.25">
      <c r="B587" t="s">
        <v>347</v>
      </c>
      <c r="C587" t="s">
        <v>348</v>
      </c>
      <c r="D587" t="str">
        <f>HYPERLINK("https://rhld.insurance.arkansas.gov/NPILookup?Npi=1558781740","1558781740")</f>
        <v>1558781740</v>
      </c>
      <c r="E587" t="s">
        <v>693</v>
      </c>
      <c r="F587" t="s">
        <v>12</v>
      </c>
      <c r="G587" s="20">
        <v>1</v>
      </c>
      <c r="H587" t="s">
        <v>4338</v>
      </c>
      <c r="I587" t="s">
        <v>32</v>
      </c>
      <c r="J587" s="9"/>
      <c r="K587" s="9"/>
      <c r="L587" s="9"/>
    </row>
    <row r="588" spans="2:12" ht="15" x14ac:dyDescent="0.25">
      <c r="B588" t="s">
        <v>347</v>
      </c>
      <c r="C588" t="s">
        <v>348</v>
      </c>
      <c r="D588" t="str">
        <f>HYPERLINK("https://rhld.insurance.arkansas.gov/NPILookup?Npi=1558865014","1558865014")</f>
        <v>1558865014</v>
      </c>
      <c r="E588" t="s">
        <v>694</v>
      </c>
      <c r="F588" t="s">
        <v>12</v>
      </c>
      <c r="G588" s="20">
        <v>1</v>
      </c>
      <c r="H588" t="s">
        <v>4338</v>
      </c>
      <c r="I588" t="s">
        <v>32</v>
      </c>
      <c r="J588" s="9"/>
      <c r="K588" s="9"/>
      <c r="L588" s="9"/>
    </row>
    <row r="589" spans="2:12" ht="15" x14ac:dyDescent="0.25">
      <c r="B589" t="s">
        <v>347</v>
      </c>
      <c r="C589" t="s">
        <v>348</v>
      </c>
      <c r="D589" t="str">
        <f>HYPERLINK("https://rhld.insurance.arkansas.gov/NPILookup?Npi=1568441616","1568441616")</f>
        <v>1568441616</v>
      </c>
      <c r="E589" t="s">
        <v>695</v>
      </c>
      <c r="F589" t="s">
        <v>12</v>
      </c>
      <c r="G589" s="20">
        <v>1</v>
      </c>
      <c r="H589" t="s">
        <v>139</v>
      </c>
      <c r="I589" t="s">
        <v>32</v>
      </c>
      <c r="J589" s="9"/>
      <c r="K589" s="9"/>
      <c r="L589" s="9"/>
    </row>
    <row r="590" spans="2:12" ht="15" x14ac:dyDescent="0.25">
      <c r="B590" t="s">
        <v>347</v>
      </c>
      <c r="C590" t="s">
        <v>348</v>
      </c>
      <c r="D590" t="str">
        <f>HYPERLINK("https://rhld.insurance.arkansas.gov/NPILookup?Npi=1568495638","1568495638")</f>
        <v>1568495638</v>
      </c>
      <c r="E590" t="s">
        <v>697</v>
      </c>
      <c r="F590" t="s">
        <v>13</v>
      </c>
      <c r="G590" s="20">
        <v>1</v>
      </c>
      <c r="H590" t="s">
        <v>87</v>
      </c>
      <c r="I590" t="s">
        <v>4357</v>
      </c>
      <c r="J590" s="9"/>
      <c r="K590" s="9"/>
      <c r="L590" s="9"/>
    </row>
    <row r="591" spans="2:12" ht="15" x14ac:dyDescent="0.25">
      <c r="B591" t="s">
        <v>347</v>
      </c>
      <c r="C591" t="s">
        <v>348</v>
      </c>
      <c r="D591" t="str">
        <f>HYPERLINK("https://rhld.insurance.arkansas.gov/NPILookup?Npi=1578527792","1578527792")</f>
        <v>1578527792</v>
      </c>
      <c r="E591" t="s">
        <v>705</v>
      </c>
      <c r="F591" t="s">
        <v>13</v>
      </c>
      <c r="G591" s="20">
        <v>1</v>
      </c>
      <c r="H591" t="s">
        <v>87</v>
      </c>
      <c r="I591" t="s">
        <v>32</v>
      </c>
      <c r="J591" s="9"/>
      <c r="K591" s="9"/>
      <c r="L591" s="9"/>
    </row>
    <row r="592" spans="2:12" ht="15" x14ac:dyDescent="0.25">
      <c r="B592" t="s">
        <v>347</v>
      </c>
      <c r="C592" t="s">
        <v>348</v>
      </c>
      <c r="D592" t="str">
        <f>HYPERLINK("https://rhld.insurance.arkansas.gov/NPILookup?Npi=1568499986","1568499986")</f>
        <v>1568499986</v>
      </c>
      <c r="E592" t="s">
        <v>698</v>
      </c>
      <c r="F592" t="s">
        <v>12</v>
      </c>
      <c r="G592" s="20">
        <v>1</v>
      </c>
      <c r="H592" t="s">
        <v>4338</v>
      </c>
      <c r="I592" t="s">
        <v>32</v>
      </c>
      <c r="J592" s="9"/>
      <c r="K592" s="9"/>
      <c r="L592" s="9"/>
    </row>
    <row r="593" spans="2:12" ht="15" x14ac:dyDescent="0.25">
      <c r="B593" t="s">
        <v>347</v>
      </c>
      <c r="C593" t="s">
        <v>348</v>
      </c>
      <c r="D593" t="str">
        <f>HYPERLINK("https://rhld.insurance.arkansas.gov/NPILookup?Npi=1568753481","1568753481")</f>
        <v>1568753481</v>
      </c>
      <c r="E593" t="s">
        <v>699</v>
      </c>
      <c r="F593" t="s">
        <v>12</v>
      </c>
      <c r="G593" s="20">
        <v>1</v>
      </c>
      <c r="H593" t="s">
        <v>4338</v>
      </c>
      <c r="I593" t="s">
        <v>4357</v>
      </c>
      <c r="J593" s="9"/>
      <c r="K593" s="9"/>
      <c r="L593" s="9"/>
    </row>
    <row r="594" spans="2:12" ht="15" x14ac:dyDescent="0.25">
      <c r="B594" t="s">
        <v>347</v>
      </c>
      <c r="C594" t="s">
        <v>348</v>
      </c>
      <c r="D594" t="str">
        <f>HYPERLINK("https://rhld.insurance.arkansas.gov/NPILookup?Npi=1568757730","1568757730")</f>
        <v>1568757730</v>
      </c>
      <c r="E594" t="s">
        <v>700</v>
      </c>
      <c r="F594" t="s">
        <v>12</v>
      </c>
      <c r="G594" s="20">
        <v>1</v>
      </c>
      <c r="H594" t="s">
        <v>4338</v>
      </c>
      <c r="I594" t="s">
        <v>32</v>
      </c>
      <c r="J594" s="9"/>
      <c r="K594" s="9"/>
      <c r="L594" s="9"/>
    </row>
    <row r="595" spans="2:12" ht="15" x14ac:dyDescent="0.25">
      <c r="B595" t="s">
        <v>347</v>
      </c>
      <c r="C595" t="s">
        <v>348</v>
      </c>
      <c r="D595" t="str">
        <f>HYPERLINK("https://rhld.insurance.arkansas.gov/NPILookup?Npi=1568809044","1568809044")</f>
        <v>1568809044</v>
      </c>
      <c r="E595" t="s">
        <v>701</v>
      </c>
      <c r="F595" t="s">
        <v>12</v>
      </c>
      <c r="G595" s="20">
        <v>1</v>
      </c>
      <c r="H595" t="s">
        <v>4338</v>
      </c>
      <c r="I595" t="s">
        <v>32</v>
      </c>
      <c r="J595" s="9"/>
      <c r="K595" s="9"/>
      <c r="L595" s="9"/>
    </row>
    <row r="596" spans="2:12" ht="15" x14ac:dyDescent="0.25">
      <c r="B596" t="s">
        <v>347</v>
      </c>
      <c r="C596" t="s">
        <v>348</v>
      </c>
      <c r="D596" t="str">
        <f>HYPERLINK("https://rhld.insurance.arkansas.gov/NPILookup?Npi=1568959674","1568959674")</f>
        <v>1568959674</v>
      </c>
      <c r="E596" t="s">
        <v>702</v>
      </c>
      <c r="F596" t="s">
        <v>12</v>
      </c>
      <c r="G596" s="20">
        <v>1</v>
      </c>
      <c r="H596" t="s">
        <v>139</v>
      </c>
      <c r="I596" t="s">
        <v>32</v>
      </c>
      <c r="J596" s="9"/>
      <c r="K596" s="9"/>
      <c r="L596" s="9"/>
    </row>
    <row r="597" spans="2:12" ht="15" x14ac:dyDescent="0.25">
      <c r="B597" t="s">
        <v>347</v>
      </c>
      <c r="C597" t="s">
        <v>348</v>
      </c>
      <c r="D597" t="str">
        <f>HYPERLINK("https://rhld.insurance.arkansas.gov/NPILookup?Npi=1578183653","1578183653")</f>
        <v>1578183653</v>
      </c>
      <c r="E597" t="s">
        <v>703</v>
      </c>
      <c r="F597" t="s">
        <v>12</v>
      </c>
      <c r="G597" s="20">
        <v>1</v>
      </c>
      <c r="H597" t="s">
        <v>4338</v>
      </c>
      <c r="I597" t="s">
        <v>32</v>
      </c>
      <c r="J597" s="9"/>
      <c r="K597" s="9"/>
      <c r="L597" s="9"/>
    </row>
    <row r="598" spans="2:12" ht="15" x14ac:dyDescent="0.25">
      <c r="B598" t="s">
        <v>347</v>
      </c>
      <c r="C598" t="s">
        <v>348</v>
      </c>
      <c r="D598" t="str">
        <f>HYPERLINK("https://rhld.insurance.arkansas.gov/NPILookup?Npi=1578517504","1578517504")</f>
        <v>1578517504</v>
      </c>
      <c r="E598" t="s">
        <v>704</v>
      </c>
      <c r="F598" t="s">
        <v>12</v>
      </c>
      <c r="G598" s="20">
        <v>1</v>
      </c>
      <c r="H598" t="s">
        <v>4338</v>
      </c>
      <c r="I598" t="s">
        <v>32</v>
      </c>
      <c r="J598" s="9"/>
      <c r="K598" s="9"/>
      <c r="L598" s="9"/>
    </row>
    <row r="599" spans="2:12" ht="15" x14ac:dyDescent="0.25">
      <c r="B599" t="s">
        <v>347</v>
      </c>
      <c r="C599" t="s">
        <v>348</v>
      </c>
      <c r="D599" t="str">
        <f>HYPERLINK("https://rhld.insurance.arkansas.gov/NPILookup?Npi=1598728222","1598728222")</f>
        <v>1598728222</v>
      </c>
      <c r="E599" t="s">
        <v>721</v>
      </c>
      <c r="F599" t="s">
        <v>13</v>
      </c>
      <c r="G599" s="20">
        <v>1</v>
      </c>
      <c r="H599" t="s">
        <v>87</v>
      </c>
      <c r="I599" t="s">
        <v>32</v>
      </c>
      <c r="J599" s="9"/>
      <c r="K599" s="9"/>
      <c r="L599" s="9"/>
    </row>
    <row r="600" spans="2:12" ht="15" x14ac:dyDescent="0.25">
      <c r="B600" t="s">
        <v>347</v>
      </c>
      <c r="C600" t="s">
        <v>348</v>
      </c>
      <c r="D600" t="str">
        <f>HYPERLINK("https://rhld.insurance.arkansas.gov/NPILookup?Npi=1578768644","1578768644")</f>
        <v>1578768644</v>
      </c>
      <c r="E600" t="s">
        <v>706</v>
      </c>
      <c r="F600" t="s">
        <v>12</v>
      </c>
      <c r="G600" s="20">
        <v>1</v>
      </c>
      <c r="H600" t="s">
        <v>4338</v>
      </c>
      <c r="I600" t="s">
        <v>32</v>
      </c>
      <c r="J600" s="9"/>
      <c r="K600" s="9"/>
      <c r="L600" s="9"/>
    </row>
    <row r="601" spans="2:12" ht="15" x14ac:dyDescent="0.25">
      <c r="B601" t="s">
        <v>347</v>
      </c>
      <c r="C601" t="s">
        <v>348</v>
      </c>
      <c r="D601" t="str">
        <f>HYPERLINK("https://rhld.insurance.arkansas.gov/NPILookup?Npi=1578793469","1578793469")</f>
        <v>1578793469</v>
      </c>
      <c r="E601" t="s">
        <v>707</v>
      </c>
      <c r="F601" t="s">
        <v>12</v>
      </c>
      <c r="G601" s="20">
        <v>1</v>
      </c>
      <c r="H601" t="s">
        <v>4338</v>
      </c>
      <c r="I601" t="s">
        <v>32</v>
      </c>
      <c r="J601" s="9"/>
      <c r="K601" s="9"/>
      <c r="L601" s="9"/>
    </row>
    <row r="602" spans="2:12" ht="15" x14ac:dyDescent="0.25">
      <c r="B602" t="s">
        <v>347</v>
      </c>
      <c r="C602" t="s">
        <v>348</v>
      </c>
      <c r="D602" t="str">
        <f>HYPERLINK("https://rhld.insurance.arkansas.gov/NPILookup?Npi=1578976908","1578976908")</f>
        <v>1578976908</v>
      </c>
      <c r="E602" t="s">
        <v>708</v>
      </c>
      <c r="F602" t="s">
        <v>12</v>
      </c>
      <c r="G602" s="20">
        <v>1</v>
      </c>
      <c r="H602" t="s">
        <v>139</v>
      </c>
      <c r="I602" t="s">
        <v>32</v>
      </c>
      <c r="J602" s="9"/>
      <c r="K602" s="9"/>
      <c r="L602" s="9"/>
    </row>
    <row r="603" spans="2:12" ht="15" x14ac:dyDescent="0.25">
      <c r="B603" t="s">
        <v>347</v>
      </c>
      <c r="C603" t="s">
        <v>348</v>
      </c>
      <c r="D603" t="str">
        <f>HYPERLINK("https://rhld.insurance.arkansas.gov/NPILookup?Npi=1588016646","1588016646")</f>
        <v>1588016646</v>
      </c>
      <c r="E603" t="s">
        <v>709</v>
      </c>
      <c r="F603" t="s">
        <v>12</v>
      </c>
      <c r="G603" s="20">
        <v>1</v>
      </c>
      <c r="H603" t="s">
        <v>4338</v>
      </c>
      <c r="I603" t="s">
        <v>32</v>
      </c>
      <c r="J603" s="9"/>
      <c r="K603" s="9"/>
      <c r="L603" s="9"/>
    </row>
    <row r="604" spans="2:12" ht="15" x14ac:dyDescent="0.25">
      <c r="B604" t="s">
        <v>347</v>
      </c>
      <c r="C604" t="s">
        <v>348</v>
      </c>
      <c r="D604" t="str">
        <f>HYPERLINK("https://rhld.insurance.arkansas.gov/NPILookup?Npi=1588027148","1588027148")</f>
        <v>1588027148</v>
      </c>
      <c r="E604" t="s">
        <v>710</v>
      </c>
      <c r="F604" t="s">
        <v>12</v>
      </c>
      <c r="G604" s="20">
        <v>1</v>
      </c>
      <c r="H604" t="s">
        <v>4338</v>
      </c>
      <c r="I604" t="s">
        <v>32</v>
      </c>
      <c r="J604" s="9"/>
      <c r="K604" s="9"/>
      <c r="L604" s="9"/>
    </row>
    <row r="605" spans="2:12" ht="15" x14ac:dyDescent="0.25">
      <c r="B605" t="s">
        <v>347</v>
      </c>
      <c r="C605" t="s">
        <v>348</v>
      </c>
      <c r="D605" t="str">
        <f>HYPERLINK("https://rhld.insurance.arkansas.gov/NPILookup?Npi=1588047443","1588047443")</f>
        <v>1588047443</v>
      </c>
      <c r="E605" t="s">
        <v>711</v>
      </c>
      <c r="F605" t="s">
        <v>12</v>
      </c>
      <c r="G605" s="20">
        <v>1</v>
      </c>
      <c r="H605" t="s">
        <v>139</v>
      </c>
      <c r="I605" t="s">
        <v>32</v>
      </c>
      <c r="J605" s="9"/>
      <c r="K605" s="9"/>
      <c r="L605" s="9"/>
    </row>
    <row r="606" spans="2:12" ht="15" x14ac:dyDescent="0.25">
      <c r="B606" t="s">
        <v>347</v>
      </c>
      <c r="C606" t="s">
        <v>348</v>
      </c>
      <c r="D606" t="str">
        <f>HYPERLINK("https://rhld.insurance.arkansas.gov/NPILookup?Npi=1588649396","1588649396")</f>
        <v>1588649396</v>
      </c>
      <c r="E606" t="s">
        <v>712</v>
      </c>
      <c r="F606" t="s">
        <v>12</v>
      </c>
      <c r="G606" s="20">
        <v>1</v>
      </c>
      <c r="H606" t="s">
        <v>4338</v>
      </c>
      <c r="I606" t="s">
        <v>32</v>
      </c>
      <c r="J606" s="9"/>
      <c r="K606" s="9"/>
      <c r="L606" s="9"/>
    </row>
    <row r="607" spans="2:12" ht="15" x14ac:dyDescent="0.25">
      <c r="B607" t="s">
        <v>347</v>
      </c>
      <c r="C607" t="s">
        <v>348</v>
      </c>
      <c r="D607" t="str">
        <f>HYPERLINK("https://rhld.insurance.arkansas.gov/NPILookup?Npi=1588656730","1588656730")</f>
        <v>1588656730</v>
      </c>
      <c r="E607" t="s">
        <v>713</v>
      </c>
      <c r="F607" t="s">
        <v>12</v>
      </c>
      <c r="G607" s="20">
        <v>1</v>
      </c>
      <c r="H607" t="s">
        <v>139</v>
      </c>
      <c r="I607" t="s">
        <v>32</v>
      </c>
      <c r="J607" s="9"/>
      <c r="K607" s="9"/>
      <c r="L607" s="9"/>
    </row>
    <row r="608" spans="2:12" ht="15" x14ac:dyDescent="0.25">
      <c r="B608" t="s">
        <v>347</v>
      </c>
      <c r="C608" t="s">
        <v>348</v>
      </c>
      <c r="D608" t="str">
        <f>HYPERLINK("https://rhld.insurance.arkansas.gov/NPILookup?Npi=1588682785","1588682785")</f>
        <v>1588682785</v>
      </c>
      <c r="E608" t="s">
        <v>714</v>
      </c>
      <c r="F608" t="s">
        <v>12</v>
      </c>
      <c r="G608" s="20">
        <v>1</v>
      </c>
      <c r="H608" t="s">
        <v>139</v>
      </c>
      <c r="I608" t="s">
        <v>32</v>
      </c>
      <c r="J608" s="9"/>
      <c r="K608" s="9"/>
      <c r="L608" s="9"/>
    </row>
    <row r="609" spans="2:12" ht="15" x14ac:dyDescent="0.25">
      <c r="B609" t="s">
        <v>347</v>
      </c>
      <c r="C609" t="s">
        <v>348</v>
      </c>
      <c r="D609" t="str">
        <f>HYPERLINK("https://rhld.insurance.arkansas.gov/NPILookup?Npi=1588684492","1588684492")</f>
        <v>1588684492</v>
      </c>
      <c r="E609" t="s">
        <v>716</v>
      </c>
      <c r="F609" t="s">
        <v>12</v>
      </c>
      <c r="G609" s="20">
        <v>1</v>
      </c>
      <c r="H609" t="s">
        <v>4338</v>
      </c>
      <c r="I609" t="s">
        <v>32</v>
      </c>
      <c r="J609" s="9"/>
      <c r="K609" s="9"/>
      <c r="L609" s="9"/>
    </row>
    <row r="610" spans="2:12" ht="15" x14ac:dyDescent="0.25">
      <c r="B610" t="s">
        <v>347</v>
      </c>
      <c r="C610" t="s">
        <v>348</v>
      </c>
      <c r="D610" t="str">
        <f>HYPERLINK("https://rhld.insurance.arkansas.gov/NPILookup?Npi=1588692719","1588692719")</f>
        <v>1588692719</v>
      </c>
      <c r="E610" t="s">
        <v>717</v>
      </c>
      <c r="F610" t="s">
        <v>12</v>
      </c>
      <c r="G610" s="20">
        <v>1</v>
      </c>
      <c r="H610" t="s">
        <v>4338</v>
      </c>
      <c r="I610" t="s">
        <v>32</v>
      </c>
      <c r="J610" s="9"/>
      <c r="K610" s="9"/>
      <c r="L610" s="9"/>
    </row>
    <row r="611" spans="2:12" ht="15" x14ac:dyDescent="0.25">
      <c r="B611" t="s">
        <v>347</v>
      </c>
      <c r="C611" t="s">
        <v>348</v>
      </c>
      <c r="D611" t="str">
        <f>HYPERLINK("https://rhld.insurance.arkansas.gov/NPILookup?Npi=1588692826","1588692826")</f>
        <v>1588692826</v>
      </c>
      <c r="E611" t="s">
        <v>718</v>
      </c>
      <c r="F611" t="s">
        <v>12</v>
      </c>
      <c r="G611" s="20">
        <v>1</v>
      </c>
      <c r="H611" t="s">
        <v>4338</v>
      </c>
      <c r="I611" t="s">
        <v>32</v>
      </c>
      <c r="J611" s="9"/>
      <c r="K611" s="9"/>
      <c r="L611" s="9"/>
    </row>
    <row r="612" spans="2:12" ht="15" x14ac:dyDescent="0.25">
      <c r="B612" t="s">
        <v>347</v>
      </c>
      <c r="C612" t="s">
        <v>348</v>
      </c>
      <c r="D612" t="str">
        <f>HYPERLINK("https://rhld.insurance.arkansas.gov/NPILookup?Npi=1588928436","1588928436")</f>
        <v>1588928436</v>
      </c>
      <c r="E612" t="s">
        <v>719</v>
      </c>
      <c r="F612" t="s">
        <v>12</v>
      </c>
      <c r="G612" s="20">
        <v>1</v>
      </c>
      <c r="H612" t="s">
        <v>4338</v>
      </c>
      <c r="I612" t="s">
        <v>32</v>
      </c>
      <c r="J612" s="9"/>
      <c r="K612" s="9"/>
      <c r="L612" s="9"/>
    </row>
    <row r="613" spans="2:12" ht="15" x14ac:dyDescent="0.25">
      <c r="B613" t="s">
        <v>347</v>
      </c>
      <c r="C613" t="s">
        <v>348</v>
      </c>
      <c r="D613" t="str">
        <f>HYPERLINK("https://rhld.insurance.arkansas.gov/NPILookup?Npi=1598705683","1598705683")</f>
        <v>1598705683</v>
      </c>
      <c r="E613" t="s">
        <v>720</v>
      </c>
      <c r="F613" t="s">
        <v>12</v>
      </c>
      <c r="G613" s="20">
        <v>1</v>
      </c>
      <c r="H613" t="s">
        <v>4338</v>
      </c>
      <c r="I613" t="s">
        <v>32</v>
      </c>
      <c r="J613" s="9"/>
      <c r="K613" s="9"/>
      <c r="L613" s="9"/>
    </row>
    <row r="614" spans="2:12" ht="15" x14ac:dyDescent="0.25">
      <c r="B614" t="s">
        <v>347</v>
      </c>
      <c r="C614" t="s">
        <v>348</v>
      </c>
      <c r="D614" t="str">
        <f>HYPERLINK("https://rhld.insurance.arkansas.gov/NPILookup?Npi=1619994761","1619994761")</f>
        <v>1619994761</v>
      </c>
      <c r="E614" t="s">
        <v>726</v>
      </c>
      <c r="F614" t="s">
        <v>13</v>
      </c>
      <c r="G614" s="20">
        <v>1</v>
      </c>
      <c r="H614" t="s">
        <v>87</v>
      </c>
      <c r="I614" t="s">
        <v>32</v>
      </c>
      <c r="J614" s="9"/>
      <c r="K614" s="9"/>
      <c r="L614" s="9"/>
    </row>
    <row r="615" spans="2:12" ht="15" x14ac:dyDescent="0.25">
      <c r="B615" t="s">
        <v>347</v>
      </c>
      <c r="C615" t="s">
        <v>348</v>
      </c>
      <c r="D615" t="str">
        <f>HYPERLINK("https://rhld.insurance.arkansas.gov/NPILookup?Npi=1609315951","1609315951")</f>
        <v>1609315951</v>
      </c>
      <c r="E615" t="s">
        <v>722</v>
      </c>
      <c r="F615" t="s">
        <v>12</v>
      </c>
      <c r="G615" s="20">
        <v>1</v>
      </c>
      <c r="H615" t="s">
        <v>4338</v>
      </c>
      <c r="I615" t="s">
        <v>32</v>
      </c>
      <c r="J615" s="9"/>
      <c r="K615" s="9"/>
      <c r="L615" s="9"/>
    </row>
    <row r="616" spans="2:12" ht="15" x14ac:dyDescent="0.25">
      <c r="B616" t="s">
        <v>347</v>
      </c>
      <c r="C616" t="s">
        <v>348</v>
      </c>
      <c r="D616" t="str">
        <f>HYPERLINK("https://rhld.insurance.arkansas.gov/NPILookup?Npi=1619105277","1619105277")</f>
        <v>1619105277</v>
      </c>
      <c r="E616" t="s">
        <v>723</v>
      </c>
      <c r="F616" t="s">
        <v>12</v>
      </c>
      <c r="G616" s="20">
        <v>1</v>
      </c>
      <c r="H616" t="s">
        <v>4338</v>
      </c>
      <c r="I616" t="s">
        <v>32</v>
      </c>
      <c r="J616" s="9"/>
      <c r="K616" s="9"/>
      <c r="L616" s="9"/>
    </row>
    <row r="617" spans="2:12" ht="15" x14ac:dyDescent="0.25">
      <c r="B617" t="s">
        <v>347</v>
      </c>
      <c r="C617" t="s">
        <v>348</v>
      </c>
      <c r="D617" t="str">
        <f>HYPERLINK("https://rhld.insurance.arkansas.gov/NPILookup?Npi=1619128360","1619128360")</f>
        <v>1619128360</v>
      </c>
      <c r="E617" t="s">
        <v>724</v>
      </c>
      <c r="F617" t="s">
        <v>12</v>
      </c>
      <c r="G617" s="20">
        <v>1</v>
      </c>
      <c r="H617" t="s">
        <v>4338</v>
      </c>
      <c r="I617" t="s">
        <v>32</v>
      </c>
      <c r="J617" s="9"/>
      <c r="K617" s="9"/>
      <c r="L617" s="9"/>
    </row>
    <row r="618" spans="2:12" ht="15" x14ac:dyDescent="0.25">
      <c r="B618" t="s">
        <v>347</v>
      </c>
      <c r="C618" t="s">
        <v>348</v>
      </c>
      <c r="D618" t="str">
        <f>HYPERLINK("https://rhld.insurance.arkansas.gov/NPILookup?Npi=1619236981","1619236981")</f>
        <v>1619236981</v>
      </c>
      <c r="E618" t="s">
        <v>725</v>
      </c>
      <c r="F618" t="s">
        <v>12</v>
      </c>
      <c r="G618" s="20">
        <v>1</v>
      </c>
      <c r="H618" t="s">
        <v>4338</v>
      </c>
      <c r="I618" t="s">
        <v>32</v>
      </c>
      <c r="J618" s="9"/>
      <c r="K618" s="9"/>
      <c r="L618" s="9"/>
    </row>
    <row r="619" spans="2:12" ht="15" x14ac:dyDescent="0.25">
      <c r="B619" t="s">
        <v>347</v>
      </c>
      <c r="C619" t="s">
        <v>348</v>
      </c>
      <c r="D619" t="str">
        <f>HYPERLINK("https://rhld.insurance.arkansas.gov/NPILookup?Npi=1629139969","1629139969")</f>
        <v>1629139969</v>
      </c>
      <c r="E619" t="s">
        <v>728</v>
      </c>
      <c r="F619" t="s">
        <v>13</v>
      </c>
      <c r="G619" s="20">
        <v>1</v>
      </c>
      <c r="H619" t="s">
        <v>4357</v>
      </c>
      <c r="I619" t="s">
        <v>4357</v>
      </c>
      <c r="J619" s="9"/>
      <c r="K619" s="9"/>
      <c r="L619" s="9"/>
    </row>
    <row r="620" spans="2:12" ht="15" x14ac:dyDescent="0.25">
      <c r="B620" t="s">
        <v>347</v>
      </c>
      <c r="C620" t="s">
        <v>348</v>
      </c>
      <c r="D620" t="str">
        <f>HYPERLINK("https://rhld.insurance.arkansas.gov/NPILookup?Npi=1629095328","1629095328")</f>
        <v>1629095328</v>
      </c>
      <c r="E620" t="s">
        <v>727</v>
      </c>
      <c r="F620" t="s">
        <v>12</v>
      </c>
      <c r="G620" s="20">
        <v>1</v>
      </c>
      <c r="H620" t="s">
        <v>4338</v>
      </c>
      <c r="I620" t="s">
        <v>32</v>
      </c>
      <c r="J620" s="9"/>
      <c r="K620" s="9"/>
      <c r="L620" s="9"/>
    </row>
    <row r="621" spans="2:12" ht="15" x14ac:dyDescent="0.25">
      <c r="B621" t="s">
        <v>347</v>
      </c>
      <c r="C621" t="s">
        <v>348</v>
      </c>
      <c r="D621" t="str">
        <f>HYPERLINK("https://rhld.insurance.arkansas.gov/NPILookup?Npi=1639829559","1639829559")</f>
        <v>1639829559</v>
      </c>
      <c r="E621" t="s">
        <v>738</v>
      </c>
      <c r="F621" t="s">
        <v>13</v>
      </c>
      <c r="G621" s="20">
        <v>1</v>
      </c>
      <c r="H621" t="s">
        <v>87</v>
      </c>
      <c r="I621" t="s">
        <v>4357</v>
      </c>
      <c r="J621" s="9"/>
      <c r="K621" s="9"/>
      <c r="L621" s="9"/>
    </row>
    <row r="622" spans="2:12" ht="15" x14ac:dyDescent="0.25">
      <c r="B622" t="s">
        <v>347</v>
      </c>
      <c r="C622" t="s">
        <v>348</v>
      </c>
      <c r="D622" t="str">
        <f>HYPERLINK("https://rhld.insurance.arkansas.gov/NPILookup?Npi=1629157359","1629157359")</f>
        <v>1629157359</v>
      </c>
      <c r="E622" t="s">
        <v>729</v>
      </c>
      <c r="F622" t="s">
        <v>12</v>
      </c>
      <c r="G622" s="20">
        <v>1</v>
      </c>
      <c r="H622" t="s">
        <v>139</v>
      </c>
      <c r="I622" t="s">
        <v>32</v>
      </c>
      <c r="J622" s="9"/>
      <c r="K622" s="9"/>
      <c r="L622" s="9"/>
    </row>
    <row r="623" spans="2:12" ht="15" x14ac:dyDescent="0.25">
      <c r="B623" t="s">
        <v>347</v>
      </c>
      <c r="C623" t="s">
        <v>348</v>
      </c>
      <c r="D623" t="str">
        <f>HYPERLINK("https://rhld.insurance.arkansas.gov/NPILookup?Npi=1629207386","1629207386")</f>
        <v>1629207386</v>
      </c>
      <c r="E623" t="s">
        <v>730</v>
      </c>
      <c r="F623" t="s">
        <v>12</v>
      </c>
      <c r="G623" s="20">
        <v>1</v>
      </c>
      <c r="H623" t="s">
        <v>4338</v>
      </c>
      <c r="I623" t="s">
        <v>32</v>
      </c>
      <c r="J623" s="9"/>
      <c r="K623" s="9"/>
      <c r="L623" s="9"/>
    </row>
    <row r="624" spans="2:12" ht="15" x14ac:dyDescent="0.25">
      <c r="B624" t="s">
        <v>347</v>
      </c>
      <c r="C624" t="s">
        <v>348</v>
      </c>
      <c r="D624" t="str">
        <f>HYPERLINK("https://rhld.insurance.arkansas.gov/NPILookup?Npi=1629398268","1629398268")</f>
        <v>1629398268</v>
      </c>
      <c r="E624" t="s">
        <v>731</v>
      </c>
      <c r="F624" t="s">
        <v>12</v>
      </c>
      <c r="G624" s="20">
        <v>1</v>
      </c>
      <c r="H624" t="s">
        <v>4338</v>
      </c>
      <c r="I624" t="s">
        <v>32</v>
      </c>
      <c r="J624" s="9"/>
      <c r="K624" s="9"/>
      <c r="L624" s="9"/>
    </row>
    <row r="625" spans="2:12" ht="15" x14ac:dyDescent="0.25">
      <c r="B625" t="s">
        <v>347</v>
      </c>
      <c r="C625" t="s">
        <v>348</v>
      </c>
      <c r="D625" t="str">
        <f>HYPERLINK("https://rhld.insurance.arkansas.gov/NPILookup?Npi=1629425913","1629425913")</f>
        <v>1629425913</v>
      </c>
      <c r="E625" t="s">
        <v>732</v>
      </c>
      <c r="F625" t="s">
        <v>12</v>
      </c>
      <c r="G625" s="20">
        <v>1</v>
      </c>
      <c r="H625" t="s">
        <v>4338</v>
      </c>
      <c r="I625" t="s">
        <v>32</v>
      </c>
      <c r="J625" s="9"/>
      <c r="K625" s="9"/>
      <c r="L625" s="9"/>
    </row>
    <row r="626" spans="2:12" ht="15" x14ac:dyDescent="0.25">
      <c r="B626" t="s">
        <v>347</v>
      </c>
      <c r="C626" t="s">
        <v>348</v>
      </c>
      <c r="D626" t="str">
        <f>HYPERLINK("https://rhld.insurance.arkansas.gov/NPILookup?Npi=1629428826","1629428826")</f>
        <v>1629428826</v>
      </c>
      <c r="E626" t="s">
        <v>733</v>
      </c>
      <c r="F626" t="s">
        <v>12</v>
      </c>
      <c r="G626" s="20">
        <v>1</v>
      </c>
      <c r="H626" t="s">
        <v>4338</v>
      </c>
      <c r="I626" t="s">
        <v>32</v>
      </c>
      <c r="J626" s="9"/>
      <c r="K626" s="9"/>
      <c r="L626" s="9"/>
    </row>
    <row r="627" spans="2:12" ht="15" x14ac:dyDescent="0.25">
      <c r="B627" t="s">
        <v>347</v>
      </c>
      <c r="C627" t="s">
        <v>348</v>
      </c>
      <c r="D627" t="str">
        <f>HYPERLINK("https://rhld.insurance.arkansas.gov/NPILookup?Npi=1629561808","1629561808")</f>
        <v>1629561808</v>
      </c>
      <c r="E627" t="s">
        <v>734</v>
      </c>
      <c r="F627" t="s">
        <v>12</v>
      </c>
      <c r="G627" s="20">
        <v>1</v>
      </c>
      <c r="H627" t="s">
        <v>4338</v>
      </c>
      <c r="I627" t="s">
        <v>32</v>
      </c>
      <c r="J627" s="9"/>
      <c r="K627" s="9"/>
      <c r="L627" s="9"/>
    </row>
    <row r="628" spans="2:12" ht="15" x14ac:dyDescent="0.25">
      <c r="B628" t="s">
        <v>347</v>
      </c>
      <c r="C628" t="s">
        <v>348</v>
      </c>
      <c r="D628" t="str">
        <f>HYPERLINK("https://rhld.insurance.arkansas.gov/NPILookup?Npi=1639143829","1639143829")</f>
        <v>1639143829</v>
      </c>
      <c r="E628" t="s">
        <v>77</v>
      </c>
      <c r="F628" t="s">
        <v>12</v>
      </c>
      <c r="G628" s="20">
        <v>1</v>
      </c>
      <c r="H628" t="s">
        <v>78</v>
      </c>
      <c r="I628" t="s">
        <v>32</v>
      </c>
      <c r="J628" s="9"/>
      <c r="K628" s="9"/>
      <c r="L628" s="9"/>
    </row>
    <row r="629" spans="2:12" ht="15" x14ac:dyDescent="0.25">
      <c r="B629" t="s">
        <v>347</v>
      </c>
      <c r="C629" t="s">
        <v>348</v>
      </c>
      <c r="D629" t="str">
        <f>HYPERLINK("https://rhld.insurance.arkansas.gov/NPILookup?Npi=1639177959","1639177959")</f>
        <v>1639177959</v>
      </c>
      <c r="E629" t="s">
        <v>735</v>
      </c>
      <c r="F629" t="s">
        <v>12</v>
      </c>
      <c r="G629" s="20">
        <v>1</v>
      </c>
      <c r="H629" t="s">
        <v>4338</v>
      </c>
      <c r="I629" t="s">
        <v>32</v>
      </c>
      <c r="J629" s="9"/>
      <c r="K629" s="9"/>
      <c r="L629" s="9"/>
    </row>
    <row r="630" spans="2:12" ht="15" x14ac:dyDescent="0.25">
      <c r="B630" t="s">
        <v>347</v>
      </c>
      <c r="C630" t="s">
        <v>348</v>
      </c>
      <c r="D630" t="str">
        <f>HYPERLINK("https://rhld.insurance.arkansas.gov/NPILookup?Npi=1639790983","1639790983")</f>
        <v>1639790983</v>
      </c>
      <c r="E630" t="s">
        <v>737</v>
      </c>
      <c r="F630" t="s">
        <v>12</v>
      </c>
      <c r="G630" s="20">
        <v>1</v>
      </c>
      <c r="H630" t="s">
        <v>139</v>
      </c>
      <c r="I630" t="s">
        <v>32</v>
      </c>
      <c r="J630" s="9"/>
      <c r="K630" s="9"/>
      <c r="L630" s="9"/>
    </row>
    <row r="631" spans="2:12" ht="15" x14ac:dyDescent="0.25">
      <c r="B631" t="s">
        <v>347</v>
      </c>
      <c r="C631" t="s">
        <v>348</v>
      </c>
      <c r="D631" t="str">
        <f>HYPERLINK("https://rhld.insurance.arkansas.gov/NPILookup?Npi=1669122990","1669122990")</f>
        <v>1669122990</v>
      </c>
      <c r="E631" t="s">
        <v>758</v>
      </c>
      <c r="F631" t="s">
        <v>13</v>
      </c>
      <c r="G631" s="20">
        <v>1</v>
      </c>
      <c r="H631" t="s">
        <v>87</v>
      </c>
      <c r="I631" t="s">
        <v>4357</v>
      </c>
      <c r="J631" s="9"/>
      <c r="K631" s="9"/>
      <c r="L631" s="9"/>
    </row>
    <row r="632" spans="2:12" ht="15" x14ac:dyDescent="0.25">
      <c r="B632" t="s">
        <v>347</v>
      </c>
      <c r="C632" t="s">
        <v>348</v>
      </c>
      <c r="D632" t="str">
        <f>HYPERLINK("https://rhld.insurance.arkansas.gov/NPILookup?Npi=1649304114","1649304114")</f>
        <v>1649304114</v>
      </c>
      <c r="E632" t="s">
        <v>740</v>
      </c>
      <c r="F632" t="s">
        <v>12</v>
      </c>
      <c r="G632" s="20">
        <v>1</v>
      </c>
      <c r="H632" t="s">
        <v>139</v>
      </c>
      <c r="I632" t="s">
        <v>32</v>
      </c>
      <c r="J632" s="9"/>
      <c r="K632" s="9"/>
      <c r="L632" s="9"/>
    </row>
    <row r="633" spans="2:12" ht="15" x14ac:dyDescent="0.25">
      <c r="B633" t="s">
        <v>347</v>
      </c>
      <c r="C633" t="s">
        <v>348</v>
      </c>
      <c r="D633" t="str">
        <f>HYPERLINK("https://rhld.insurance.arkansas.gov/NPILookup?Npi=1649440900","1649440900")</f>
        <v>1649440900</v>
      </c>
      <c r="E633" t="s">
        <v>742</v>
      </c>
      <c r="F633" t="s">
        <v>12</v>
      </c>
      <c r="G633" s="20">
        <v>1</v>
      </c>
      <c r="H633" t="s">
        <v>139</v>
      </c>
      <c r="I633" t="s">
        <v>32</v>
      </c>
      <c r="J633" s="9"/>
      <c r="K633" s="9"/>
      <c r="L633" s="9"/>
    </row>
    <row r="634" spans="2:12" ht="15" x14ac:dyDescent="0.25">
      <c r="B634" t="s">
        <v>347</v>
      </c>
      <c r="C634" t="s">
        <v>348</v>
      </c>
      <c r="D634" t="str">
        <f>HYPERLINK("https://rhld.insurance.arkansas.gov/NPILookup?Npi=1649508474","1649508474")</f>
        <v>1649508474</v>
      </c>
      <c r="E634" t="s">
        <v>743</v>
      </c>
      <c r="F634" t="s">
        <v>12</v>
      </c>
      <c r="G634" s="20">
        <v>1</v>
      </c>
      <c r="H634" t="s">
        <v>4338</v>
      </c>
      <c r="I634" t="s">
        <v>32</v>
      </c>
      <c r="J634" s="9"/>
      <c r="K634" s="9"/>
      <c r="L634" s="9"/>
    </row>
    <row r="635" spans="2:12" ht="15" x14ac:dyDescent="0.25">
      <c r="B635" t="s">
        <v>347</v>
      </c>
      <c r="C635" t="s">
        <v>348</v>
      </c>
      <c r="D635" t="str">
        <f>HYPERLINK("https://rhld.insurance.arkansas.gov/NPILookup?Npi=1649632886","1649632886")</f>
        <v>1649632886</v>
      </c>
      <c r="E635" t="s">
        <v>745</v>
      </c>
      <c r="F635" t="s">
        <v>12</v>
      </c>
      <c r="G635" s="20">
        <v>1</v>
      </c>
      <c r="H635" t="s">
        <v>4338</v>
      </c>
      <c r="I635" t="s">
        <v>32</v>
      </c>
      <c r="J635" s="9"/>
      <c r="K635" s="9"/>
      <c r="L635" s="9"/>
    </row>
    <row r="636" spans="2:12" ht="15" x14ac:dyDescent="0.25">
      <c r="B636" t="s">
        <v>347</v>
      </c>
      <c r="C636" t="s">
        <v>348</v>
      </c>
      <c r="D636" t="str">
        <f>HYPERLINK("https://rhld.insurance.arkansas.gov/NPILookup?Npi=1649634601","1649634601")</f>
        <v>1649634601</v>
      </c>
      <c r="E636" t="s">
        <v>746</v>
      </c>
      <c r="F636" t="s">
        <v>12</v>
      </c>
      <c r="G636" s="20">
        <v>1</v>
      </c>
      <c r="H636" t="s">
        <v>4338</v>
      </c>
      <c r="I636" t="s">
        <v>32</v>
      </c>
      <c r="J636" s="9"/>
      <c r="K636" s="9"/>
      <c r="L636" s="9"/>
    </row>
    <row r="637" spans="2:12" ht="15" x14ac:dyDescent="0.25">
      <c r="B637" t="s">
        <v>347</v>
      </c>
      <c r="C637" t="s">
        <v>348</v>
      </c>
      <c r="D637" t="str">
        <f>HYPERLINK("https://rhld.insurance.arkansas.gov/NPILookup?Npi=1649700337","1649700337")</f>
        <v>1649700337</v>
      </c>
      <c r="E637" t="s">
        <v>747</v>
      </c>
      <c r="F637" t="s">
        <v>12</v>
      </c>
      <c r="G637" s="20">
        <v>1</v>
      </c>
      <c r="H637" t="s">
        <v>4338</v>
      </c>
      <c r="I637" t="s">
        <v>32</v>
      </c>
      <c r="J637" s="9"/>
      <c r="K637" s="9"/>
      <c r="L637" s="9"/>
    </row>
    <row r="638" spans="2:12" ht="15" x14ac:dyDescent="0.25">
      <c r="B638" t="s">
        <v>347</v>
      </c>
      <c r="C638" t="s">
        <v>348</v>
      </c>
      <c r="D638" t="str">
        <f>HYPERLINK("https://rhld.insurance.arkansas.gov/NPILookup?Npi=1649733478","1649733478")</f>
        <v>1649733478</v>
      </c>
      <c r="E638" t="s">
        <v>748</v>
      </c>
      <c r="F638" t="s">
        <v>12</v>
      </c>
      <c r="G638" s="20">
        <v>1</v>
      </c>
      <c r="H638" t="s">
        <v>4338</v>
      </c>
      <c r="I638" t="s">
        <v>32</v>
      </c>
      <c r="J638" s="9"/>
      <c r="K638" s="9"/>
      <c r="L638" s="9"/>
    </row>
    <row r="639" spans="2:12" ht="15" x14ac:dyDescent="0.25">
      <c r="B639" t="s">
        <v>347</v>
      </c>
      <c r="C639" t="s">
        <v>348</v>
      </c>
      <c r="D639" t="str">
        <f>HYPERLINK("https://rhld.insurance.arkansas.gov/NPILookup?Npi=1659319879","1659319879")</f>
        <v>1659319879</v>
      </c>
      <c r="E639" t="s">
        <v>749</v>
      </c>
      <c r="F639" t="s">
        <v>12</v>
      </c>
      <c r="G639" s="20">
        <v>1</v>
      </c>
      <c r="H639" t="s">
        <v>4338</v>
      </c>
      <c r="I639" t="s">
        <v>32</v>
      </c>
      <c r="J639" s="9"/>
      <c r="K639" s="9"/>
      <c r="L639" s="9"/>
    </row>
    <row r="640" spans="2:12" ht="15" x14ac:dyDescent="0.25">
      <c r="B640" t="s">
        <v>347</v>
      </c>
      <c r="C640" t="s">
        <v>348</v>
      </c>
      <c r="D640" t="str">
        <f>HYPERLINK("https://rhld.insurance.arkansas.gov/NPILookup?Npi=1659327765","1659327765")</f>
        <v>1659327765</v>
      </c>
      <c r="E640" t="s">
        <v>750</v>
      </c>
      <c r="F640" t="s">
        <v>12</v>
      </c>
      <c r="G640" s="20">
        <v>1</v>
      </c>
      <c r="H640" t="s">
        <v>139</v>
      </c>
      <c r="I640" t="s">
        <v>4357</v>
      </c>
      <c r="J640" s="9"/>
      <c r="K640" s="9"/>
      <c r="L640" s="9"/>
    </row>
    <row r="641" spans="2:12" ht="15" x14ac:dyDescent="0.25">
      <c r="B641" t="s">
        <v>347</v>
      </c>
      <c r="C641" t="s">
        <v>348</v>
      </c>
      <c r="D641" t="str">
        <f>HYPERLINK("https://rhld.insurance.arkansas.gov/NPILookup?Npi=1659395960","1659395960")</f>
        <v>1659395960</v>
      </c>
      <c r="E641" t="s">
        <v>751</v>
      </c>
      <c r="F641" t="s">
        <v>12</v>
      </c>
      <c r="G641" s="20">
        <v>1</v>
      </c>
      <c r="H641" t="s">
        <v>4338</v>
      </c>
      <c r="I641" t="s">
        <v>4357</v>
      </c>
      <c r="J641" s="9"/>
      <c r="K641" s="9"/>
      <c r="L641" s="9"/>
    </row>
    <row r="642" spans="2:12" ht="15" x14ac:dyDescent="0.25">
      <c r="B642" t="s">
        <v>347</v>
      </c>
      <c r="C642" t="s">
        <v>348</v>
      </c>
      <c r="D642" t="str">
        <f>HYPERLINK("https://rhld.insurance.arkansas.gov/NPILookup?Npi=1659523124","1659523124")</f>
        <v>1659523124</v>
      </c>
      <c r="E642" t="s">
        <v>752</v>
      </c>
      <c r="F642" t="s">
        <v>12</v>
      </c>
      <c r="G642" s="20">
        <v>1</v>
      </c>
      <c r="H642" t="s">
        <v>4338</v>
      </c>
      <c r="I642" t="s">
        <v>32</v>
      </c>
      <c r="J642" s="9"/>
      <c r="K642" s="9"/>
      <c r="L642" s="9"/>
    </row>
    <row r="643" spans="2:12" ht="15" x14ac:dyDescent="0.25">
      <c r="B643" t="s">
        <v>347</v>
      </c>
      <c r="C643" t="s">
        <v>348</v>
      </c>
      <c r="D643" t="str">
        <f>HYPERLINK("https://rhld.insurance.arkansas.gov/NPILookup?Npi=1659634277","1659634277")</f>
        <v>1659634277</v>
      </c>
      <c r="E643" t="s">
        <v>753</v>
      </c>
      <c r="F643" t="s">
        <v>12</v>
      </c>
      <c r="G643" s="20">
        <v>1</v>
      </c>
      <c r="H643" t="s">
        <v>4338</v>
      </c>
      <c r="I643" t="s">
        <v>32</v>
      </c>
      <c r="J643" s="9"/>
      <c r="K643" s="9"/>
      <c r="L643" s="9"/>
    </row>
    <row r="644" spans="2:12" ht="15" x14ac:dyDescent="0.25">
      <c r="B644" t="s">
        <v>347</v>
      </c>
      <c r="C644" t="s">
        <v>348</v>
      </c>
      <c r="D644" t="str">
        <f>HYPERLINK("https://rhld.insurance.arkansas.gov/NPILookup?Npi=1659660314","1659660314")</f>
        <v>1659660314</v>
      </c>
      <c r="E644" t="s">
        <v>754</v>
      </c>
      <c r="F644" t="s">
        <v>12</v>
      </c>
      <c r="G644" s="20">
        <v>1</v>
      </c>
      <c r="H644" t="s">
        <v>4338</v>
      </c>
      <c r="I644" t="s">
        <v>32</v>
      </c>
      <c r="J644" s="9"/>
      <c r="K644" s="9"/>
      <c r="L644" s="9"/>
    </row>
    <row r="645" spans="2:12" ht="15" x14ac:dyDescent="0.25">
      <c r="B645" t="s">
        <v>347</v>
      </c>
      <c r="C645" t="s">
        <v>348</v>
      </c>
      <c r="D645" t="str">
        <f>HYPERLINK("https://rhld.insurance.arkansas.gov/NPILookup?Npi=1659697555","1659697555")</f>
        <v>1659697555</v>
      </c>
      <c r="E645" t="s">
        <v>755</v>
      </c>
      <c r="F645" t="s">
        <v>12</v>
      </c>
      <c r="G645" s="20">
        <v>1</v>
      </c>
      <c r="H645" t="s">
        <v>139</v>
      </c>
      <c r="I645" t="s">
        <v>32</v>
      </c>
      <c r="J645" s="9"/>
      <c r="K645" s="9"/>
      <c r="L645" s="9"/>
    </row>
    <row r="646" spans="2:12" ht="15" x14ac:dyDescent="0.25">
      <c r="B646" t="s">
        <v>347</v>
      </c>
      <c r="C646" t="s">
        <v>348</v>
      </c>
      <c r="D646" t="str">
        <f>HYPERLINK("https://rhld.insurance.arkansas.gov/NPILookup?Npi=1659710531","1659710531")</f>
        <v>1659710531</v>
      </c>
      <c r="E646" t="s">
        <v>756</v>
      </c>
      <c r="F646" t="s">
        <v>12</v>
      </c>
      <c r="G646" s="20">
        <v>1</v>
      </c>
      <c r="H646" t="s">
        <v>4338</v>
      </c>
      <c r="I646" t="s">
        <v>32</v>
      </c>
      <c r="J646" s="9"/>
      <c r="K646" s="9"/>
      <c r="L646" s="9"/>
    </row>
    <row r="647" spans="2:12" ht="15" x14ac:dyDescent="0.25">
      <c r="B647" t="s">
        <v>347</v>
      </c>
      <c r="C647" t="s">
        <v>348</v>
      </c>
      <c r="D647" t="str">
        <f>HYPERLINK("https://rhld.insurance.arkansas.gov/NPILookup?Npi=1659734846","1659734846")</f>
        <v>1659734846</v>
      </c>
      <c r="E647" t="s">
        <v>757</v>
      </c>
      <c r="F647" t="s">
        <v>12</v>
      </c>
      <c r="G647" s="20">
        <v>1</v>
      </c>
      <c r="H647" t="s">
        <v>4338</v>
      </c>
      <c r="I647" t="s">
        <v>32</v>
      </c>
      <c r="J647" s="9"/>
      <c r="K647" s="9"/>
      <c r="L647" s="9"/>
    </row>
    <row r="648" spans="2:12" ht="15" x14ac:dyDescent="0.25">
      <c r="B648" t="s">
        <v>347</v>
      </c>
      <c r="C648" t="s">
        <v>348</v>
      </c>
      <c r="D648" t="str">
        <f>HYPERLINK("https://rhld.insurance.arkansas.gov/NPILookup?Npi=1679836530","1679836530")</f>
        <v>1679836530</v>
      </c>
      <c r="E648" t="s">
        <v>767</v>
      </c>
      <c r="F648" t="s">
        <v>13</v>
      </c>
      <c r="G648" s="20">
        <v>1</v>
      </c>
      <c r="H648" t="s">
        <v>4357</v>
      </c>
      <c r="I648" t="s">
        <v>4357</v>
      </c>
      <c r="J648" s="9"/>
      <c r="K648" s="9"/>
      <c r="L648" s="9"/>
    </row>
    <row r="649" spans="2:12" ht="15" x14ac:dyDescent="0.25">
      <c r="B649" t="s">
        <v>347</v>
      </c>
      <c r="C649" t="s">
        <v>348</v>
      </c>
      <c r="D649" t="str">
        <f>HYPERLINK("https://rhld.insurance.arkansas.gov/NPILookup?Npi=1669545711","1669545711")</f>
        <v>1669545711</v>
      </c>
      <c r="E649" t="s">
        <v>759</v>
      </c>
      <c r="F649" t="s">
        <v>12</v>
      </c>
      <c r="G649" s="20">
        <v>1</v>
      </c>
      <c r="H649" t="s">
        <v>4338</v>
      </c>
      <c r="I649" t="s">
        <v>32</v>
      </c>
      <c r="J649" s="9"/>
      <c r="K649" s="9"/>
      <c r="L649" s="9"/>
    </row>
    <row r="650" spans="2:12" ht="15" x14ac:dyDescent="0.25">
      <c r="B650" t="s">
        <v>347</v>
      </c>
      <c r="C650" t="s">
        <v>348</v>
      </c>
      <c r="D650" t="str">
        <f>HYPERLINK("https://rhld.insurance.arkansas.gov/NPILookup?Npi=1679515522","1679515522")</f>
        <v>1679515522</v>
      </c>
      <c r="E650" t="s">
        <v>761</v>
      </c>
      <c r="F650" t="s">
        <v>12</v>
      </c>
      <c r="G650" s="20">
        <v>1</v>
      </c>
      <c r="H650" t="s">
        <v>4338</v>
      </c>
      <c r="I650" t="s">
        <v>32</v>
      </c>
      <c r="J650" s="9"/>
      <c r="K650" s="9"/>
      <c r="L650" s="9"/>
    </row>
    <row r="651" spans="2:12" ht="15" x14ac:dyDescent="0.25">
      <c r="B651" t="s">
        <v>347</v>
      </c>
      <c r="C651" t="s">
        <v>348</v>
      </c>
      <c r="D651" t="str">
        <f>HYPERLINK("https://rhld.insurance.arkansas.gov/NPILookup?Npi=1679542302","1679542302")</f>
        <v>1679542302</v>
      </c>
      <c r="E651" t="s">
        <v>762</v>
      </c>
      <c r="F651" t="s">
        <v>12</v>
      </c>
      <c r="G651" s="20">
        <v>1</v>
      </c>
      <c r="H651" t="s">
        <v>4338</v>
      </c>
      <c r="I651" t="s">
        <v>32</v>
      </c>
      <c r="J651" s="9"/>
      <c r="K651" s="9"/>
      <c r="L651" s="9"/>
    </row>
    <row r="652" spans="2:12" ht="15" x14ac:dyDescent="0.25">
      <c r="B652" t="s">
        <v>347</v>
      </c>
      <c r="C652" t="s">
        <v>348</v>
      </c>
      <c r="D652" t="str">
        <f>HYPERLINK("https://rhld.insurance.arkansas.gov/NPILookup?Npi=1679571863","1679571863")</f>
        <v>1679571863</v>
      </c>
      <c r="E652" t="s">
        <v>763</v>
      </c>
      <c r="F652" t="s">
        <v>12</v>
      </c>
      <c r="G652" s="20">
        <v>1</v>
      </c>
      <c r="H652" t="s">
        <v>4338</v>
      </c>
      <c r="I652" t="s">
        <v>32</v>
      </c>
      <c r="J652" s="9"/>
      <c r="K652" s="9"/>
      <c r="L652" s="9"/>
    </row>
    <row r="653" spans="2:12" ht="15" x14ac:dyDescent="0.25">
      <c r="B653" t="s">
        <v>347</v>
      </c>
      <c r="C653" t="s">
        <v>348</v>
      </c>
      <c r="D653" t="str">
        <f>HYPERLINK("https://rhld.insurance.arkansas.gov/NPILookup?Npi=1679576631","1679576631")</f>
        <v>1679576631</v>
      </c>
      <c r="E653" t="s">
        <v>764</v>
      </c>
      <c r="F653" t="s">
        <v>12</v>
      </c>
      <c r="G653" s="20">
        <v>1</v>
      </c>
      <c r="H653" t="s">
        <v>4338</v>
      </c>
      <c r="I653" t="s">
        <v>32</v>
      </c>
      <c r="J653" s="9"/>
      <c r="K653" s="9"/>
      <c r="L653" s="9"/>
    </row>
    <row r="654" spans="2:12" ht="15" x14ac:dyDescent="0.25">
      <c r="B654" t="s">
        <v>347</v>
      </c>
      <c r="C654" t="s">
        <v>348</v>
      </c>
      <c r="D654" t="str">
        <f>HYPERLINK("https://rhld.insurance.arkansas.gov/NPILookup?Npi=1679668925","1679668925")</f>
        <v>1679668925</v>
      </c>
      <c r="E654" t="s">
        <v>765</v>
      </c>
      <c r="F654" t="s">
        <v>12</v>
      </c>
      <c r="G654" s="20">
        <v>1</v>
      </c>
      <c r="H654" t="s">
        <v>4338</v>
      </c>
      <c r="I654" t="s">
        <v>32</v>
      </c>
      <c r="J654" s="9"/>
      <c r="K654" s="9"/>
      <c r="L654" s="9"/>
    </row>
    <row r="655" spans="2:12" ht="15" x14ac:dyDescent="0.25">
      <c r="B655" t="s">
        <v>347</v>
      </c>
      <c r="C655" t="s">
        <v>348</v>
      </c>
      <c r="D655" t="str">
        <f>HYPERLINK("https://rhld.insurance.arkansas.gov/NPILookup?Npi=1679746622","1679746622")</f>
        <v>1679746622</v>
      </c>
      <c r="E655" t="s">
        <v>766</v>
      </c>
      <c r="F655" t="s">
        <v>12</v>
      </c>
      <c r="G655" s="20">
        <v>1</v>
      </c>
      <c r="H655" t="s">
        <v>4338</v>
      </c>
      <c r="I655" t="s">
        <v>32</v>
      </c>
      <c r="J655" s="9"/>
      <c r="K655" s="9"/>
      <c r="L655" s="9"/>
    </row>
    <row r="656" spans="2:12" ht="15" x14ac:dyDescent="0.25">
      <c r="B656" t="s">
        <v>347</v>
      </c>
      <c r="C656" t="s">
        <v>348</v>
      </c>
      <c r="D656" t="str">
        <f>HYPERLINK("https://rhld.insurance.arkansas.gov/NPILookup?Npi=1710941299","1710941299")</f>
        <v>1710941299</v>
      </c>
      <c r="E656" t="s">
        <v>793</v>
      </c>
      <c r="F656" t="s">
        <v>13</v>
      </c>
      <c r="G656" s="20">
        <v>1</v>
      </c>
      <c r="H656" t="s">
        <v>87</v>
      </c>
      <c r="I656" t="s">
        <v>4357</v>
      </c>
      <c r="J656" s="9"/>
      <c r="K656" s="9"/>
      <c r="L656" s="9"/>
    </row>
    <row r="657" spans="2:12" ht="15" x14ac:dyDescent="0.25">
      <c r="B657" t="s">
        <v>347</v>
      </c>
      <c r="C657" t="s">
        <v>348</v>
      </c>
      <c r="D657" t="str">
        <f>HYPERLINK("https://rhld.insurance.arkansas.gov/NPILookup?Npi=1679862023","1679862023")</f>
        <v>1679862023</v>
      </c>
      <c r="E657" t="s">
        <v>768</v>
      </c>
      <c r="F657" t="s">
        <v>12</v>
      </c>
      <c r="G657" s="20">
        <v>1</v>
      </c>
      <c r="H657" t="s">
        <v>4338</v>
      </c>
      <c r="I657" t="s">
        <v>32</v>
      </c>
      <c r="J657" s="9"/>
      <c r="K657" s="9"/>
      <c r="L657" s="9"/>
    </row>
    <row r="658" spans="2:12" ht="15" x14ac:dyDescent="0.25">
      <c r="B658" t="s">
        <v>347</v>
      </c>
      <c r="C658" t="s">
        <v>348</v>
      </c>
      <c r="D658" t="str">
        <f>HYPERLINK("https://rhld.insurance.arkansas.gov/NPILookup?Npi=1689191108","1689191108")</f>
        <v>1689191108</v>
      </c>
      <c r="E658" t="s">
        <v>770</v>
      </c>
      <c r="F658" t="s">
        <v>12</v>
      </c>
      <c r="G658" s="20">
        <v>1</v>
      </c>
      <c r="H658" t="s">
        <v>4338</v>
      </c>
      <c r="I658" t="s">
        <v>32</v>
      </c>
      <c r="J658" s="9"/>
      <c r="K658" s="9"/>
      <c r="L658" s="9"/>
    </row>
    <row r="659" spans="2:12" ht="15" x14ac:dyDescent="0.25">
      <c r="B659" t="s">
        <v>347</v>
      </c>
      <c r="C659" t="s">
        <v>348</v>
      </c>
      <c r="D659" t="str">
        <f>HYPERLINK("https://rhld.insurance.arkansas.gov/NPILookup?Npi=1689628323","1689628323")</f>
        <v>1689628323</v>
      </c>
      <c r="E659" t="s">
        <v>771</v>
      </c>
      <c r="F659" t="s">
        <v>12</v>
      </c>
      <c r="G659" s="20">
        <v>1</v>
      </c>
      <c r="H659" t="s">
        <v>4338</v>
      </c>
      <c r="I659" t="s">
        <v>4357</v>
      </c>
      <c r="J659" s="9"/>
      <c r="K659" s="9"/>
      <c r="L659" s="9"/>
    </row>
    <row r="660" spans="2:12" ht="15" x14ac:dyDescent="0.25">
      <c r="B660" t="s">
        <v>347</v>
      </c>
      <c r="C660" t="s">
        <v>348</v>
      </c>
      <c r="D660" t="str">
        <f>HYPERLINK("https://rhld.insurance.arkansas.gov/NPILookup?Npi=1689884439","1689884439")</f>
        <v>1689884439</v>
      </c>
      <c r="E660" t="s">
        <v>772</v>
      </c>
      <c r="F660" t="s">
        <v>12</v>
      </c>
      <c r="G660" s="20">
        <v>1</v>
      </c>
      <c r="H660" t="s">
        <v>139</v>
      </c>
      <c r="I660" t="s">
        <v>32</v>
      </c>
      <c r="J660" s="9"/>
      <c r="K660" s="9"/>
      <c r="L660" s="9"/>
    </row>
    <row r="661" spans="2:12" ht="15" x14ac:dyDescent="0.25">
      <c r="B661" t="s">
        <v>347</v>
      </c>
      <c r="C661" t="s">
        <v>348</v>
      </c>
      <c r="D661" t="str">
        <f>HYPERLINK("https://rhld.insurance.arkansas.gov/NPILookup?Npi=1689962409","1689962409")</f>
        <v>1689962409</v>
      </c>
      <c r="E661" t="s">
        <v>774</v>
      </c>
      <c r="F661" t="s">
        <v>12</v>
      </c>
      <c r="G661" s="20">
        <v>1</v>
      </c>
      <c r="H661" t="s">
        <v>139</v>
      </c>
      <c r="I661" t="s">
        <v>4357</v>
      </c>
      <c r="J661" s="9"/>
      <c r="K661" s="9"/>
      <c r="L661" s="9"/>
    </row>
    <row r="662" spans="2:12" ht="15" x14ac:dyDescent="0.25">
      <c r="B662" t="s">
        <v>347</v>
      </c>
      <c r="C662" t="s">
        <v>348</v>
      </c>
      <c r="D662" t="str">
        <f>HYPERLINK("https://rhld.insurance.arkansas.gov/NPILookup?Npi=1689971749","1689971749")</f>
        <v>1689971749</v>
      </c>
      <c r="E662" t="s">
        <v>775</v>
      </c>
      <c r="F662" t="s">
        <v>12</v>
      </c>
      <c r="G662" s="20">
        <v>1</v>
      </c>
      <c r="H662" t="s">
        <v>4338</v>
      </c>
      <c r="I662" t="s">
        <v>32</v>
      </c>
      <c r="J662" s="9"/>
      <c r="K662" s="9"/>
      <c r="L662" s="9"/>
    </row>
    <row r="663" spans="2:12" ht="15" x14ac:dyDescent="0.25">
      <c r="B663" t="s">
        <v>347</v>
      </c>
      <c r="C663" t="s">
        <v>348</v>
      </c>
      <c r="D663" t="str">
        <f>HYPERLINK("https://rhld.insurance.arkansas.gov/NPILookup?Npi=1699040618","1699040618")</f>
        <v>1699040618</v>
      </c>
      <c r="E663" t="s">
        <v>776</v>
      </c>
      <c r="F663" t="s">
        <v>12</v>
      </c>
      <c r="G663" s="20">
        <v>1</v>
      </c>
      <c r="H663" t="s">
        <v>4338</v>
      </c>
      <c r="I663" t="s">
        <v>32</v>
      </c>
      <c r="J663" s="9"/>
      <c r="K663" s="9"/>
      <c r="L663" s="9"/>
    </row>
    <row r="664" spans="2:12" ht="15" x14ac:dyDescent="0.25">
      <c r="B664" t="s">
        <v>347</v>
      </c>
      <c r="C664" t="s">
        <v>348</v>
      </c>
      <c r="D664" t="str">
        <f>HYPERLINK("https://rhld.insurance.arkansas.gov/NPILookup?Npi=1699153338","1699153338")</f>
        <v>1699153338</v>
      </c>
      <c r="E664" t="s">
        <v>777</v>
      </c>
      <c r="F664" t="s">
        <v>12</v>
      </c>
      <c r="G664" s="20">
        <v>1</v>
      </c>
      <c r="H664" t="s">
        <v>139</v>
      </c>
      <c r="I664" t="s">
        <v>32</v>
      </c>
      <c r="J664" s="9"/>
      <c r="K664" s="9"/>
      <c r="L664" s="9"/>
    </row>
    <row r="665" spans="2:12" ht="15" x14ac:dyDescent="0.25">
      <c r="B665" t="s">
        <v>347</v>
      </c>
      <c r="C665" t="s">
        <v>348</v>
      </c>
      <c r="D665" t="str">
        <f>HYPERLINK("https://rhld.insurance.arkansas.gov/NPILookup?Npi=1699221853","1699221853")</f>
        <v>1699221853</v>
      </c>
      <c r="E665" t="s">
        <v>778</v>
      </c>
      <c r="F665" t="s">
        <v>12</v>
      </c>
      <c r="G665" s="20">
        <v>1</v>
      </c>
      <c r="H665" t="s">
        <v>139</v>
      </c>
      <c r="I665" t="s">
        <v>32</v>
      </c>
      <c r="J665" s="9"/>
      <c r="K665" s="9"/>
      <c r="L665" s="9"/>
    </row>
    <row r="666" spans="2:12" ht="15" x14ac:dyDescent="0.25">
      <c r="B666" t="s">
        <v>347</v>
      </c>
      <c r="C666" t="s">
        <v>348</v>
      </c>
      <c r="D666" t="str">
        <f>HYPERLINK("https://rhld.insurance.arkansas.gov/NPILookup?Npi=1699738195","1699738195")</f>
        <v>1699738195</v>
      </c>
      <c r="E666" t="s">
        <v>780</v>
      </c>
      <c r="F666" t="s">
        <v>12</v>
      </c>
      <c r="G666" s="20">
        <v>1</v>
      </c>
      <c r="H666" t="s">
        <v>4338</v>
      </c>
      <c r="I666" t="s">
        <v>32</v>
      </c>
      <c r="J666" s="9"/>
      <c r="K666" s="9"/>
      <c r="L666" s="9"/>
    </row>
    <row r="667" spans="2:12" ht="15" x14ac:dyDescent="0.25">
      <c r="B667" t="s">
        <v>347</v>
      </c>
      <c r="C667" t="s">
        <v>348</v>
      </c>
      <c r="D667" t="str">
        <f>HYPERLINK("https://rhld.insurance.arkansas.gov/NPILookup?Npi=1699777409","1699777409")</f>
        <v>1699777409</v>
      </c>
      <c r="E667" t="s">
        <v>781</v>
      </c>
      <c r="F667" t="s">
        <v>12</v>
      </c>
      <c r="G667" s="20">
        <v>1</v>
      </c>
      <c r="H667" t="s">
        <v>4338</v>
      </c>
      <c r="I667" t="s">
        <v>32</v>
      </c>
      <c r="J667" s="9"/>
      <c r="K667" s="9"/>
      <c r="L667" s="9"/>
    </row>
    <row r="668" spans="2:12" ht="15" x14ac:dyDescent="0.25">
      <c r="B668" t="s">
        <v>347</v>
      </c>
      <c r="C668" t="s">
        <v>348</v>
      </c>
      <c r="D668" t="str">
        <f>HYPERLINK("https://rhld.insurance.arkansas.gov/NPILookup?Npi=1699939223","1699939223")</f>
        <v>1699939223</v>
      </c>
      <c r="E668" t="s">
        <v>782</v>
      </c>
      <c r="F668" t="s">
        <v>12</v>
      </c>
      <c r="G668" s="20">
        <v>1</v>
      </c>
      <c r="H668" t="s">
        <v>139</v>
      </c>
      <c r="I668" t="s">
        <v>32</v>
      </c>
      <c r="J668" s="9"/>
      <c r="K668" s="9"/>
      <c r="L668" s="9"/>
    </row>
    <row r="669" spans="2:12" ht="15" x14ac:dyDescent="0.25">
      <c r="B669" t="s">
        <v>347</v>
      </c>
      <c r="C669" t="s">
        <v>348</v>
      </c>
      <c r="D669" t="str">
        <f>HYPERLINK("https://rhld.insurance.arkansas.gov/NPILookup?Npi=1699983635","1699983635")</f>
        <v>1699983635</v>
      </c>
      <c r="E669" t="s">
        <v>783</v>
      </c>
      <c r="F669" t="s">
        <v>12</v>
      </c>
      <c r="G669" s="20">
        <v>1</v>
      </c>
      <c r="H669" t="s">
        <v>4338</v>
      </c>
      <c r="I669" t="s">
        <v>32</v>
      </c>
      <c r="J669" s="9"/>
      <c r="K669" s="9"/>
      <c r="L669" s="9"/>
    </row>
    <row r="670" spans="2:12" ht="15" x14ac:dyDescent="0.25">
      <c r="B670" t="s">
        <v>347</v>
      </c>
      <c r="C670" t="s">
        <v>348</v>
      </c>
      <c r="D670" t="str">
        <f>HYPERLINK("https://rhld.insurance.arkansas.gov/NPILookup?Npi=1700172145","1700172145")</f>
        <v>1700172145</v>
      </c>
      <c r="E670" t="s">
        <v>785</v>
      </c>
      <c r="F670" t="s">
        <v>12</v>
      </c>
      <c r="G670" s="20">
        <v>1</v>
      </c>
      <c r="H670" t="s">
        <v>4338</v>
      </c>
      <c r="I670" t="s">
        <v>32</v>
      </c>
      <c r="J670" s="9"/>
      <c r="K670" s="9"/>
      <c r="L670" s="9"/>
    </row>
    <row r="671" spans="2:12" ht="15" x14ac:dyDescent="0.25">
      <c r="B671" t="s">
        <v>347</v>
      </c>
      <c r="C671" t="s">
        <v>348</v>
      </c>
      <c r="D671" t="str">
        <f>HYPERLINK("https://rhld.insurance.arkansas.gov/NPILookup?Npi=1700845740","1700845740")</f>
        <v>1700845740</v>
      </c>
      <c r="E671" t="s">
        <v>787</v>
      </c>
      <c r="F671" t="s">
        <v>12</v>
      </c>
      <c r="G671" s="20">
        <v>1</v>
      </c>
      <c r="H671" t="s">
        <v>4338</v>
      </c>
      <c r="I671" t="s">
        <v>32</v>
      </c>
      <c r="J671" s="9"/>
      <c r="K671" s="9"/>
      <c r="L671" s="9"/>
    </row>
    <row r="672" spans="2:12" ht="15" x14ac:dyDescent="0.25">
      <c r="B672" t="s">
        <v>347</v>
      </c>
      <c r="C672" t="s">
        <v>348</v>
      </c>
      <c r="D672" t="str">
        <f>HYPERLINK("https://rhld.insurance.arkansas.gov/NPILookup?Npi=1700846045","1700846045")</f>
        <v>1700846045</v>
      </c>
      <c r="E672" t="s">
        <v>788</v>
      </c>
      <c r="F672" t="s">
        <v>12</v>
      </c>
      <c r="G672" s="20">
        <v>1</v>
      </c>
      <c r="H672" t="s">
        <v>4338</v>
      </c>
      <c r="I672" t="s">
        <v>32</v>
      </c>
      <c r="J672" s="9"/>
      <c r="K672" s="9"/>
      <c r="L672" s="9"/>
    </row>
    <row r="673" spans="2:12" ht="15" x14ac:dyDescent="0.25">
      <c r="B673" t="s">
        <v>347</v>
      </c>
      <c r="C673" t="s">
        <v>348</v>
      </c>
      <c r="D673" t="str">
        <f>HYPERLINK("https://rhld.insurance.arkansas.gov/NPILookup?Npi=1710049283","1710049283")</f>
        <v>1710049283</v>
      </c>
      <c r="E673" t="s">
        <v>789</v>
      </c>
      <c r="F673" t="s">
        <v>12</v>
      </c>
      <c r="G673" s="20">
        <v>1</v>
      </c>
      <c r="H673" t="s">
        <v>4338</v>
      </c>
      <c r="I673" t="s">
        <v>32</v>
      </c>
      <c r="J673" s="9"/>
      <c r="K673" s="9"/>
      <c r="L673" s="9"/>
    </row>
    <row r="674" spans="2:12" ht="15" x14ac:dyDescent="0.25">
      <c r="B674" t="s">
        <v>347</v>
      </c>
      <c r="C674" t="s">
        <v>348</v>
      </c>
      <c r="D674" t="str">
        <f>HYPERLINK("https://rhld.insurance.arkansas.gov/NPILookup?Npi=1710116801","1710116801")</f>
        <v>1710116801</v>
      </c>
      <c r="E674" t="s">
        <v>790</v>
      </c>
      <c r="F674" t="s">
        <v>12</v>
      </c>
      <c r="G674" s="20">
        <v>1</v>
      </c>
      <c r="H674" t="s">
        <v>4338</v>
      </c>
      <c r="I674" t="s">
        <v>32</v>
      </c>
      <c r="J674" s="9"/>
      <c r="K674" s="9"/>
      <c r="L674" s="9"/>
    </row>
    <row r="675" spans="2:12" ht="15" x14ac:dyDescent="0.25">
      <c r="B675" t="s">
        <v>347</v>
      </c>
      <c r="C675" t="s">
        <v>348</v>
      </c>
      <c r="D675" t="str">
        <f>HYPERLINK("https://rhld.insurance.arkansas.gov/NPILookup?Npi=1710253208","1710253208")</f>
        <v>1710253208</v>
      </c>
      <c r="E675" t="s">
        <v>791</v>
      </c>
      <c r="F675" t="s">
        <v>12</v>
      </c>
      <c r="G675" s="20">
        <v>1</v>
      </c>
      <c r="H675" t="s">
        <v>4338</v>
      </c>
      <c r="I675" t="s">
        <v>32</v>
      </c>
      <c r="J675" s="9"/>
      <c r="K675" s="9"/>
      <c r="L675" s="9"/>
    </row>
    <row r="676" spans="2:12" ht="15" x14ac:dyDescent="0.25">
      <c r="B676" t="s">
        <v>347</v>
      </c>
      <c r="C676" t="s">
        <v>348</v>
      </c>
      <c r="D676" t="str">
        <f>HYPERLINK("https://rhld.insurance.arkansas.gov/NPILookup?Npi=1710273891","1710273891")</f>
        <v>1710273891</v>
      </c>
      <c r="E676" t="s">
        <v>792</v>
      </c>
      <c r="F676" t="s">
        <v>12</v>
      </c>
      <c r="G676" s="20">
        <v>1</v>
      </c>
      <c r="H676" t="s">
        <v>4338</v>
      </c>
      <c r="I676" t="s">
        <v>32</v>
      </c>
      <c r="J676" s="9"/>
      <c r="K676" s="9"/>
      <c r="L676" s="9"/>
    </row>
    <row r="677" spans="2:12" ht="15" x14ac:dyDescent="0.25">
      <c r="B677" t="s">
        <v>347</v>
      </c>
      <c r="C677" t="s">
        <v>348</v>
      </c>
      <c r="D677" t="str">
        <f>HYPERLINK("https://rhld.insurance.arkansas.gov/NPILookup?Npi=1720492242","1720492242")</f>
        <v>1720492242</v>
      </c>
      <c r="E677" t="s">
        <v>801</v>
      </c>
      <c r="F677" t="s">
        <v>13</v>
      </c>
      <c r="G677" s="20">
        <v>1</v>
      </c>
      <c r="H677" t="s">
        <v>4357</v>
      </c>
      <c r="I677" t="s">
        <v>4357</v>
      </c>
      <c r="J677" s="9"/>
      <c r="K677" s="9"/>
      <c r="L677" s="9"/>
    </row>
    <row r="678" spans="2:12" ht="15" x14ac:dyDescent="0.25">
      <c r="B678" t="s">
        <v>347</v>
      </c>
      <c r="C678" t="s">
        <v>348</v>
      </c>
      <c r="D678" t="str">
        <f>HYPERLINK("https://rhld.insurance.arkansas.gov/NPILookup?Npi=1710962485","1710962485")</f>
        <v>1710962485</v>
      </c>
      <c r="E678" t="s">
        <v>794</v>
      </c>
      <c r="F678" t="s">
        <v>12</v>
      </c>
      <c r="G678" s="20">
        <v>1</v>
      </c>
      <c r="H678" t="s">
        <v>139</v>
      </c>
      <c r="I678" t="s">
        <v>32</v>
      </c>
      <c r="J678" s="9"/>
      <c r="K678" s="9"/>
      <c r="L678" s="9"/>
    </row>
    <row r="679" spans="2:12" ht="15" x14ac:dyDescent="0.25">
      <c r="B679" t="s">
        <v>347</v>
      </c>
      <c r="C679" t="s">
        <v>348</v>
      </c>
      <c r="D679" t="str">
        <f>HYPERLINK("https://rhld.insurance.arkansas.gov/NPILookup?Npi=1710972575","1710972575")</f>
        <v>1710972575</v>
      </c>
      <c r="E679" t="s">
        <v>795</v>
      </c>
      <c r="F679" t="s">
        <v>12</v>
      </c>
      <c r="G679" s="20">
        <v>1</v>
      </c>
      <c r="H679" t="s">
        <v>4338</v>
      </c>
      <c r="I679" t="s">
        <v>32</v>
      </c>
      <c r="J679" s="9"/>
      <c r="K679" s="9"/>
      <c r="L679" s="9"/>
    </row>
    <row r="680" spans="2:12" ht="15" x14ac:dyDescent="0.25">
      <c r="B680" t="s">
        <v>347</v>
      </c>
      <c r="C680" t="s">
        <v>348</v>
      </c>
      <c r="D680" t="str">
        <f>HYPERLINK("https://rhld.insurance.arkansas.gov/NPILookup?Npi=1710982871","1710982871")</f>
        <v>1710982871</v>
      </c>
      <c r="E680" t="s">
        <v>796</v>
      </c>
      <c r="F680" t="s">
        <v>12</v>
      </c>
      <c r="G680" s="20">
        <v>1</v>
      </c>
      <c r="H680" t="s">
        <v>4338</v>
      </c>
      <c r="I680" t="s">
        <v>32</v>
      </c>
      <c r="J680" s="9"/>
      <c r="K680" s="9"/>
      <c r="L680" s="9"/>
    </row>
    <row r="681" spans="2:12" ht="15" x14ac:dyDescent="0.25">
      <c r="B681" t="s">
        <v>347</v>
      </c>
      <c r="C681" t="s">
        <v>348</v>
      </c>
      <c r="D681" t="str">
        <f>HYPERLINK("https://rhld.insurance.arkansas.gov/NPILookup?Npi=1710985858","1710985858")</f>
        <v>1710985858</v>
      </c>
      <c r="E681" t="s">
        <v>797</v>
      </c>
      <c r="F681" t="s">
        <v>12</v>
      </c>
      <c r="G681" s="20">
        <v>1</v>
      </c>
      <c r="H681" t="s">
        <v>4338</v>
      </c>
      <c r="I681" t="s">
        <v>4357</v>
      </c>
      <c r="J681" s="9"/>
      <c r="K681" s="9"/>
      <c r="L681" s="9"/>
    </row>
    <row r="682" spans="2:12" ht="15" x14ac:dyDescent="0.25">
      <c r="B682" t="s">
        <v>347</v>
      </c>
      <c r="C682" t="s">
        <v>348</v>
      </c>
      <c r="D682" t="str">
        <f>HYPERLINK("https://rhld.insurance.arkansas.gov/NPILookup?Npi=1720095599","1720095599")</f>
        <v>1720095599</v>
      </c>
      <c r="E682" t="s">
        <v>799</v>
      </c>
      <c r="F682" t="s">
        <v>12</v>
      </c>
      <c r="G682" s="20">
        <v>1</v>
      </c>
      <c r="H682" t="s">
        <v>4338</v>
      </c>
      <c r="I682" t="s">
        <v>32</v>
      </c>
      <c r="J682" s="9"/>
      <c r="K682" s="9"/>
      <c r="L682" s="9"/>
    </row>
    <row r="683" spans="2:12" ht="15" x14ac:dyDescent="0.25">
      <c r="B683" t="s">
        <v>347</v>
      </c>
      <c r="C683" t="s">
        <v>348</v>
      </c>
      <c r="D683" t="str">
        <f>HYPERLINK("https://rhld.insurance.arkansas.gov/NPILookup?Npi=1720321060","1720321060")</f>
        <v>1720321060</v>
      </c>
      <c r="E683" t="s">
        <v>800</v>
      </c>
      <c r="F683" t="s">
        <v>12</v>
      </c>
      <c r="G683" s="20">
        <v>1</v>
      </c>
      <c r="H683" t="s">
        <v>4338</v>
      </c>
      <c r="I683" t="s">
        <v>32</v>
      </c>
      <c r="J683" s="9"/>
      <c r="K683" s="9"/>
      <c r="L683" s="9"/>
    </row>
    <row r="684" spans="2:12" ht="15" x14ac:dyDescent="0.25">
      <c r="B684" t="s">
        <v>347</v>
      </c>
      <c r="C684" t="s">
        <v>348</v>
      </c>
      <c r="D684" t="str">
        <f>HYPERLINK("https://rhld.insurance.arkansas.gov/NPILookup?Npi=1760447676","1760447676")</f>
        <v>1760447676</v>
      </c>
      <c r="E684" t="s">
        <v>817</v>
      </c>
      <c r="F684" t="s">
        <v>13</v>
      </c>
      <c r="G684" s="20">
        <v>1</v>
      </c>
      <c r="H684" t="s">
        <v>87</v>
      </c>
      <c r="I684" t="s">
        <v>32</v>
      </c>
      <c r="J684" s="9"/>
      <c r="K684" s="9"/>
      <c r="L684" s="9"/>
    </row>
    <row r="685" spans="2:12" ht="15" x14ac:dyDescent="0.25">
      <c r="B685" t="s">
        <v>347</v>
      </c>
      <c r="C685" t="s">
        <v>348</v>
      </c>
      <c r="D685" t="str">
        <f>HYPERLINK("https://rhld.insurance.arkansas.gov/NPILookup?Npi=1720571102","1720571102")</f>
        <v>1720571102</v>
      </c>
      <c r="E685" t="s">
        <v>802</v>
      </c>
      <c r="F685" t="s">
        <v>12</v>
      </c>
      <c r="G685" s="20">
        <v>1</v>
      </c>
      <c r="H685" t="s">
        <v>139</v>
      </c>
      <c r="I685" t="s">
        <v>32</v>
      </c>
      <c r="J685" s="9"/>
      <c r="K685" s="9"/>
      <c r="L685" s="9"/>
    </row>
    <row r="686" spans="2:12" ht="15" x14ac:dyDescent="0.25">
      <c r="B686" t="s">
        <v>347</v>
      </c>
      <c r="C686" t="s">
        <v>348</v>
      </c>
      <c r="D686" t="str">
        <f>HYPERLINK("https://rhld.insurance.arkansas.gov/NPILookup?Npi=1730146507","1730146507")</f>
        <v>1730146507</v>
      </c>
      <c r="E686" t="s">
        <v>803</v>
      </c>
      <c r="F686" t="s">
        <v>12</v>
      </c>
      <c r="G686" s="20">
        <v>1</v>
      </c>
      <c r="H686" t="s">
        <v>4338</v>
      </c>
      <c r="I686" t="s">
        <v>32</v>
      </c>
      <c r="J686" s="9"/>
      <c r="K686" s="9"/>
      <c r="L686" s="9"/>
    </row>
    <row r="687" spans="2:12" ht="15" x14ac:dyDescent="0.25">
      <c r="B687" t="s">
        <v>347</v>
      </c>
      <c r="C687" t="s">
        <v>348</v>
      </c>
      <c r="D687" t="str">
        <f>HYPERLINK("https://rhld.insurance.arkansas.gov/NPILookup?Npi=1730188053","1730188053")</f>
        <v>1730188053</v>
      </c>
      <c r="E687" t="s">
        <v>804</v>
      </c>
      <c r="F687" t="s">
        <v>12</v>
      </c>
      <c r="G687" s="20">
        <v>1</v>
      </c>
      <c r="H687" t="s">
        <v>4338</v>
      </c>
      <c r="I687" t="s">
        <v>32</v>
      </c>
      <c r="J687" s="9"/>
      <c r="K687" s="9"/>
      <c r="L687" s="9"/>
    </row>
    <row r="688" spans="2:12" ht="15" x14ac:dyDescent="0.25">
      <c r="B688" t="s">
        <v>347</v>
      </c>
      <c r="C688" t="s">
        <v>348</v>
      </c>
      <c r="D688" t="str">
        <f>HYPERLINK("https://rhld.insurance.arkansas.gov/NPILookup?Npi=1730332511","1730332511")</f>
        <v>1730332511</v>
      </c>
      <c r="E688" t="s">
        <v>805</v>
      </c>
      <c r="F688" t="s">
        <v>12</v>
      </c>
      <c r="G688" s="20">
        <v>1</v>
      </c>
      <c r="H688" t="s">
        <v>4338</v>
      </c>
      <c r="I688" t="s">
        <v>32</v>
      </c>
      <c r="J688" s="9"/>
      <c r="K688" s="9"/>
      <c r="L688" s="9"/>
    </row>
    <row r="689" spans="2:12" ht="15" x14ac:dyDescent="0.25">
      <c r="B689" t="s">
        <v>347</v>
      </c>
      <c r="C689" t="s">
        <v>348</v>
      </c>
      <c r="D689" t="str">
        <f>HYPERLINK("https://rhld.insurance.arkansas.gov/NPILookup?Npi=1730403262","1730403262")</f>
        <v>1730403262</v>
      </c>
      <c r="E689" t="s">
        <v>806</v>
      </c>
      <c r="F689" t="s">
        <v>12</v>
      </c>
      <c r="G689" s="20">
        <v>1</v>
      </c>
      <c r="H689" t="s">
        <v>4338</v>
      </c>
      <c r="I689" t="s">
        <v>32</v>
      </c>
      <c r="J689" s="9"/>
      <c r="K689" s="9"/>
      <c r="L689" s="9"/>
    </row>
    <row r="690" spans="2:12" ht="15" x14ac:dyDescent="0.25">
      <c r="B690" t="s">
        <v>347</v>
      </c>
      <c r="C690" t="s">
        <v>348</v>
      </c>
      <c r="D690" t="str">
        <f>HYPERLINK("https://rhld.insurance.arkansas.gov/NPILookup?Npi=1730766627","1730766627")</f>
        <v>1730766627</v>
      </c>
      <c r="E690" t="s">
        <v>807</v>
      </c>
      <c r="F690" t="s">
        <v>12</v>
      </c>
      <c r="G690" s="20">
        <v>1</v>
      </c>
      <c r="H690" t="s">
        <v>139</v>
      </c>
      <c r="I690" t="s">
        <v>32</v>
      </c>
      <c r="J690" s="9"/>
      <c r="K690" s="9"/>
      <c r="L690" s="9"/>
    </row>
    <row r="691" spans="2:12" ht="15" x14ac:dyDescent="0.25">
      <c r="B691" t="s">
        <v>347</v>
      </c>
      <c r="C691" t="s">
        <v>348</v>
      </c>
      <c r="D691" t="str">
        <f>HYPERLINK("https://rhld.insurance.arkansas.gov/NPILookup?Npi=1740326610","1740326610")</f>
        <v>1740326610</v>
      </c>
      <c r="E691" t="s">
        <v>808</v>
      </c>
      <c r="F691" t="s">
        <v>12</v>
      </c>
      <c r="G691" s="20">
        <v>1</v>
      </c>
      <c r="H691" t="s">
        <v>4338</v>
      </c>
      <c r="I691" t="s">
        <v>32</v>
      </c>
      <c r="J691" s="9"/>
      <c r="K691" s="9"/>
      <c r="L691" s="9"/>
    </row>
    <row r="692" spans="2:12" ht="15" x14ac:dyDescent="0.25">
      <c r="B692" t="s">
        <v>347</v>
      </c>
      <c r="C692" t="s">
        <v>348</v>
      </c>
      <c r="D692" t="str">
        <f>HYPERLINK("https://rhld.insurance.arkansas.gov/NPILookup?Npi=1740442284","1740442284")</f>
        <v>1740442284</v>
      </c>
      <c r="E692" t="s">
        <v>809</v>
      </c>
      <c r="F692" t="s">
        <v>12</v>
      </c>
      <c r="G692" s="20">
        <v>1</v>
      </c>
      <c r="H692" t="s">
        <v>4338</v>
      </c>
      <c r="I692" t="s">
        <v>32</v>
      </c>
      <c r="J692" s="9"/>
      <c r="K692" s="9"/>
      <c r="L692" s="9"/>
    </row>
    <row r="693" spans="2:12" ht="15" x14ac:dyDescent="0.25">
      <c r="B693" t="s">
        <v>347</v>
      </c>
      <c r="C693" t="s">
        <v>348</v>
      </c>
      <c r="D693" t="str">
        <f>HYPERLINK("https://rhld.insurance.arkansas.gov/NPILookup?Npi=1740543347","1740543347")</f>
        <v>1740543347</v>
      </c>
      <c r="E693" t="s">
        <v>810</v>
      </c>
      <c r="F693" t="s">
        <v>12</v>
      </c>
      <c r="G693" s="20">
        <v>1</v>
      </c>
      <c r="H693" t="s">
        <v>4338</v>
      </c>
      <c r="I693" t="s">
        <v>32</v>
      </c>
      <c r="J693" s="9"/>
      <c r="K693" s="9"/>
      <c r="L693" s="9"/>
    </row>
    <row r="694" spans="2:12" ht="15" x14ac:dyDescent="0.25">
      <c r="B694" t="s">
        <v>347</v>
      </c>
      <c r="C694" t="s">
        <v>348</v>
      </c>
      <c r="D694" t="str">
        <f>HYPERLINK("https://rhld.insurance.arkansas.gov/NPILookup?Npi=1740693183","1740693183")</f>
        <v>1740693183</v>
      </c>
      <c r="E694" t="s">
        <v>811</v>
      </c>
      <c r="F694" t="s">
        <v>12</v>
      </c>
      <c r="G694" s="20">
        <v>1</v>
      </c>
      <c r="H694" t="s">
        <v>4338</v>
      </c>
      <c r="I694" t="s">
        <v>32</v>
      </c>
      <c r="J694" s="9"/>
      <c r="K694" s="9"/>
      <c r="L694" s="9"/>
    </row>
    <row r="695" spans="2:12" ht="15" x14ac:dyDescent="0.25">
      <c r="B695" t="s">
        <v>347</v>
      </c>
      <c r="C695" t="s">
        <v>348</v>
      </c>
      <c r="D695" t="str">
        <f>HYPERLINK("https://rhld.insurance.arkansas.gov/NPILookup?Npi=1750342804","1750342804")</f>
        <v>1750342804</v>
      </c>
      <c r="E695" t="s">
        <v>812</v>
      </c>
      <c r="F695" t="s">
        <v>12</v>
      </c>
      <c r="G695" s="20">
        <v>1</v>
      </c>
      <c r="H695" t="s">
        <v>4338</v>
      </c>
      <c r="I695" t="s">
        <v>32</v>
      </c>
      <c r="J695" s="9"/>
      <c r="K695" s="9"/>
      <c r="L695" s="9"/>
    </row>
    <row r="696" spans="2:12" ht="15" x14ac:dyDescent="0.25">
      <c r="B696" t="s">
        <v>347</v>
      </c>
      <c r="C696" t="s">
        <v>348</v>
      </c>
      <c r="D696" t="str">
        <f>HYPERLINK("https://rhld.insurance.arkansas.gov/NPILookup?Npi=1750367199","1750367199")</f>
        <v>1750367199</v>
      </c>
      <c r="E696" t="s">
        <v>813</v>
      </c>
      <c r="F696" t="s">
        <v>12</v>
      </c>
      <c r="G696" s="20">
        <v>1</v>
      </c>
      <c r="H696" t="s">
        <v>4338</v>
      </c>
      <c r="I696" t="s">
        <v>32</v>
      </c>
      <c r="J696" s="9"/>
      <c r="K696" s="9"/>
      <c r="L696" s="9"/>
    </row>
    <row r="697" spans="2:12" ht="15" x14ac:dyDescent="0.25">
      <c r="B697" t="s">
        <v>347</v>
      </c>
      <c r="C697" t="s">
        <v>348</v>
      </c>
      <c r="D697" t="str">
        <f>HYPERLINK("https://rhld.insurance.arkansas.gov/NPILookup?Npi=1760426670","1760426670")</f>
        <v>1760426670</v>
      </c>
      <c r="E697" t="s">
        <v>815</v>
      </c>
      <c r="F697" t="s">
        <v>12</v>
      </c>
      <c r="G697" s="20">
        <v>1</v>
      </c>
      <c r="H697" t="s">
        <v>4338</v>
      </c>
      <c r="I697" t="s">
        <v>4357</v>
      </c>
      <c r="J697" s="9"/>
      <c r="K697" s="9"/>
      <c r="L697" s="9"/>
    </row>
    <row r="698" spans="2:12" ht="15" x14ac:dyDescent="0.25">
      <c r="B698" t="s">
        <v>347</v>
      </c>
      <c r="C698" t="s">
        <v>348</v>
      </c>
      <c r="D698" t="str">
        <f>HYPERLINK("https://rhld.insurance.arkansas.gov/NPILookup?Npi=1760442370","1760442370")</f>
        <v>1760442370</v>
      </c>
      <c r="E698" t="s">
        <v>816</v>
      </c>
      <c r="F698" t="s">
        <v>12</v>
      </c>
      <c r="G698" s="20">
        <v>1</v>
      </c>
      <c r="H698" t="s">
        <v>4338</v>
      </c>
      <c r="I698" t="s">
        <v>32</v>
      </c>
      <c r="J698" s="9"/>
      <c r="K698" s="9"/>
      <c r="L698" s="9"/>
    </row>
    <row r="699" spans="2:12" ht="15" x14ac:dyDescent="0.25">
      <c r="B699" t="s">
        <v>347</v>
      </c>
      <c r="C699" t="s">
        <v>348</v>
      </c>
      <c r="D699" t="str">
        <f>HYPERLINK("https://rhld.insurance.arkansas.gov/NPILookup?Npi=1770698052","1770698052")</f>
        <v>1770698052</v>
      </c>
      <c r="E699" t="s">
        <v>828</v>
      </c>
      <c r="F699" t="s">
        <v>13</v>
      </c>
      <c r="G699" s="20">
        <v>1</v>
      </c>
      <c r="H699" t="s">
        <v>4357</v>
      </c>
      <c r="I699" t="s">
        <v>4357</v>
      </c>
      <c r="J699" s="9"/>
      <c r="K699" s="9"/>
      <c r="L699" s="9"/>
    </row>
    <row r="700" spans="2:12" ht="15" x14ac:dyDescent="0.25">
      <c r="B700" t="s">
        <v>347</v>
      </c>
      <c r="C700" t="s">
        <v>348</v>
      </c>
      <c r="D700" t="str">
        <f>HYPERLINK("https://rhld.insurance.arkansas.gov/NPILookup?Npi=1760451876","1760451876")</f>
        <v>1760451876</v>
      </c>
      <c r="E700" t="s">
        <v>818</v>
      </c>
      <c r="F700" t="s">
        <v>12</v>
      </c>
      <c r="G700" s="20">
        <v>1</v>
      </c>
      <c r="H700" t="s">
        <v>4338</v>
      </c>
      <c r="I700" t="s">
        <v>32</v>
      </c>
      <c r="J700" s="9"/>
      <c r="K700" s="9"/>
      <c r="L700" s="9"/>
    </row>
    <row r="701" spans="2:12" ht="15" x14ac:dyDescent="0.25">
      <c r="B701" t="s">
        <v>347</v>
      </c>
      <c r="C701" t="s">
        <v>348</v>
      </c>
      <c r="D701" t="str">
        <f>HYPERLINK("https://rhld.insurance.arkansas.gov/NPILookup?Npi=1760472021","1760472021")</f>
        <v>1760472021</v>
      </c>
      <c r="E701" t="s">
        <v>819</v>
      </c>
      <c r="F701" t="s">
        <v>12</v>
      </c>
      <c r="G701" s="20">
        <v>1</v>
      </c>
      <c r="H701" t="s">
        <v>4338</v>
      </c>
      <c r="I701" t="s">
        <v>32</v>
      </c>
      <c r="J701" s="9"/>
      <c r="K701" s="9"/>
      <c r="L701" s="9"/>
    </row>
    <row r="702" spans="2:12" ht="15" x14ac:dyDescent="0.25">
      <c r="B702" t="s">
        <v>347</v>
      </c>
      <c r="C702" t="s">
        <v>348</v>
      </c>
      <c r="D702" t="str">
        <f>HYPERLINK("https://rhld.insurance.arkansas.gov/NPILookup?Npi=1760521777","1760521777")</f>
        <v>1760521777</v>
      </c>
      <c r="E702" t="s">
        <v>820</v>
      </c>
      <c r="F702" t="s">
        <v>12</v>
      </c>
      <c r="G702" s="20">
        <v>1</v>
      </c>
      <c r="H702" t="s">
        <v>4338</v>
      </c>
      <c r="I702" t="s">
        <v>32</v>
      </c>
      <c r="J702" s="9"/>
      <c r="K702" s="9"/>
      <c r="L702" s="9"/>
    </row>
    <row r="703" spans="2:12" ht="15" x14ac:dyDescent="0.25">
      <c r="B703" t="s">
        <v>347</v>
      </c>
      <c r="C703" t="s">
        <v>348</v>
      </c>
      <c r="D703" t="str">
        <f>HYPERLINK("https://rhld.insurance.arkansas.gov/NPILookup?Npi=1760639579","1760639579")</f>
        <v>1760639579</v>
      </c>
      <c r="E703" t="s">
        <v>821</v>
      </c>
      <c r="F703" t="s">
        <v>12</v>
      </c>
      <c r="G703" s="20">
        <v>1</v>
      </c>
      <c r="H703" t="s">
        <v>4338</v>
      </c>
      <c r="I703" t="s">
        <v>32</v>
      </c>
      <c r="J703" s="9"/>
      <c r="K703" s="9"/>
      <c r="L703" s="9"/>
    </row>
    <row r="704" spans="2:12" ht="15" x14ac:dyDescent="0.25">
      <c r="B704" t="s">
        <v>347</v>
      </c>
      <c r="C704" t="s">
        <v>348</v>
      </c>
      <c r="D704" t="str">
        <f>HYPERLINK("https://rhld.insurance.arkansas.gov/NPILookup?Npi=1760839120","1760839120")</f>
        <v>1760839120</v>
      </c>
      <c r="E704" t="s">
        <v>823</v>
      </c>
      <c r="F704" t="s">
        <v>12</v>
      </c>
      <c r="G704" s="20">
        <v>1</v>
      </c>
      <c r="H704" t="s">
        <v>4338</v>
      </c>
      <c r="I704" t="s">
        <v>32</v>
      </c>
      <c r="J704" s="9"/>
      <c r="K704" s="9"/>
      <c r="L704" s="9"/>
    </row>
    <row r="705" spans="2:12" ht="15" x14ac:dyDescent="0.25">
      <c r="B705" t="s">
        <v>347</v>
      </c>
      <c r="C705" t="s">
        <v>348</v>
      </c>
      <c r="D705" t="str">
        <f>HYPERLINK("https://rhld.insurance.arkansas.gov/NPILookup?Npi=1760916365","1760916365")</f>
        <v>1760916365</v>
      </c>
      <c r="E705" t="s">
        <v>824</v>
      </c>
      <c r="F705" t="s">
        <v>12</v>
      </c>
      <c r="G705" s="20">
        <v>1</v>
      </c>
      <c r="H705" t="s">
        <v>4338</v>
      </c>
      <c r="I705" t="s">
        <v>32</v>
      </c>
      <c r="J705" s="9"/>
      <c r="K705" s="9"/>
      <c r="L705" s="9"/>
    </row>
    <row r="706" spans="2:12" ht="15" x14ac:dyDescent="0.25">
      <c r="B706" t="s">
        <v>347</v>
      </c>
      <c r="C706" t="s">
        <v>348</v>
      </c>
      <c r="D706" t="str">
        <f>HYPERLINK("https://rhld.insurance.arkansas.gov/NPILookup?Npi=1770105967","1770105967")</f>
        <v>1770105967</v>
      </c>
      <c r="E706" t="s">
        <v>825</v>
      </c>
      <c r="F706" t="s">
        <v>12</v>
      </c>
      <c r="G706" s="20">
        <v>1</v>
      </c>
      <c r="H706" t="s">
        <v>4338</v>
      </c>
      <c r="I706" t="s">
        <v>32</v>
      </c>
      <c r="J706" s="9"/>
      <c r="K706" s="9"/>
      <c r="L706" s="9"/>
    </row>
    <row r="707" spans="2:12" ht="15" x14ac:dyDescent="0.25">
      <c r="B707" t="s">
        <v>347</v>
      </c>
      <c r="C707" t="s">
        <v>348</v>
      </c>
      <c r="D707" t="str">
        <f>HYPERLINK("https://rhld.insurance.arkansas.gov/NPILookup?Npi=1770531766","1770531766")</f>
        <v>1770531766</v>
      </c>
      <c r="E707" t="s">
        <v>826</v>
      </c>
      <c r="F707" t="s">
        <v>12</v>
      </c>
      <c r="G707" s="20">
        <v>1</v>
      </c>
      <c r="H707" t="s">
        <v>4338</v>
      </c>
      <c r="I707" t="s">
        <v>32</v>
      </c>
      <c r="J707" s="9"/>
      <c r="K707" s="9"/>
      <c r="L707" s="9"/>
    </row>
    <row r="708" spans="2:12" ht="15" x14ac:dyDescent="0.25">
      <c r="B708" t="s">
        <v>347</v>
      </c>
      <c r="C708" t="s">
        <v>348</v>
      </c>
      <c r="D708" t="str">
        <f>HYPERLINK("https://rhld.insurance.arkansas.gov/NPILookup?Npi=1770593436","1770593436")</f>
        <v>1770593436</v>
      </c>
      <c r="E708" t="s">
        <v>827</v>
      </c>
      <c r="F708" t="s">
        <v>12</v>
      </c>
      <c r="G708" s="20">
        <v>1</v>
      </c>
      <c r="H708" t="s">
        <v>4338</v>
      </c>
      <c r="I708" t="s">
        <v>32</v>
      </c>
      <c r="J708" s="9"/>
      <c r="K708" s="9"/>
      <c r="L708" s="9"/>
    </row>
    <row r="709" spans="2:12" ht="15" x14ac:dyDescent="0.25">
      <c r="B709" t="s">
        <v>347</v>
      </c>
      <c r="C709" t="s">
        <v>348</v>
      </c>
      <c r="D709" t="str">
        <f>HYPERLINK("https://rhld.insurance.arkansas.gov/NPILookup?Npi=1770961211","1770961211")</f>
        <v>1770961211</v>
      </c>
      <c r="E709" t="s">
        <v>830</v>
      </c>
      <c r="F709" t="s">
        <v>13</v>
      </c>
      <c r="G709" s="20">
        <v>1</v>
      </c>
      <c r="H709" t="s">
        <v>87</v>
      </c>
      <c r="I709" t="s">
        <v>4357</v>
      </c>
      <c r="J709" s="9"/>
      <c r="K709" s="9"/>
      <c r="L709" s="9"/>
    </row>
    <row r="710" spans="2:12" ht="15" x14ac:dyDescent="0.25">
      <c r="B710" t="s">
        <v>347</v>
      </c>
      <c r="C710" t="s">
        <v>348</v>
      </c>
      <c r="D710" t="str">
        <f>HYPERLINK("https://rhld.insurance.arkansas.gov/NPILookup?Npi=1770903882","1770903882")</f>
        <v>1770903882</v>
      </c>
      <c r="E710" t="s">
        <v>829</v>
      </c>
      <c r="F710" t="s">
        <v>12</v>
      </c>
      <c r="G710" s="20">
        <v>1</v>
      </c>
      <c r="H710" t="s">
        <v>4338</v>
      </c>
      <c r="I710" t="s">
        <v>4357</v>
      </c>
      <c r="J710" s="9"/>
      <c r="K710" s="9"/>
      <c r="L710" s="9"/>
    </row>
    <row r="711" spans="2:12" ht="15" x14ac:dyDescent="0.25">
      <c r="B711" t="s">
        <v>347</v>
      </c>
      <c r="C711" t="s">
        <v>348</v>
      </c>
      <c r="D711" t="str">
        <f>HYPERLINK("https://rhld.insurance.arkansas.gov/NPILookup?Npi=1790894830","1790894830")</f>
        <v>1790894830</v>
      </c>
      <c r="E711" t="s">
        <v>838</v>
      </c>
      <c r="F711" t="s">
        <v>13</v>
      </c>
      <c r="G711" s="20">
        <v>1</v>
      </c>
      <c r="H711" t="s">
        <v>87</v>
      </c>
      <c r="I711" t="s">
        <v>4357</v>
      </c>
      <c r="J711" s="9"/>
      <c r="K711" s="9"/>
      <c r="L711" s="9"/>
    </row>
    <row r="712" spans="2:12" ht="15" x14ac:dyDescent="0.25">
      <c r="B712" t="s">
        <v>347</v>
      </c>
      <c r="C712" t="s">
        <v>348</v>
      </c>
      <c r="D712" t="str">
        <f>HYPERLINK("https://rhld.insurance.arkansas.gov/NPILookup?Npi=1780038083","1780038083")</f>
        <v>1780038083</v>
      </c>
      <c r="E712" t="s">
        <v>831</v>
      </c>
      <c r="F712" t="s">
        <v>12</v>
      </c>
      <c r="G712" s="20">
        <v>1</v>
      </c>
      <c r="H712" t="s">
        <v>139</v>
      </c>
      <c r="I712" t="s">
        <v>4357</v>
      </c>
      <c r="J712" s="9"/>
      <c r="K712" s="9"/>
      <c r="L712" s="9"/>
    </row>
    <row r="713" spans="2:12" ht="15" x14ac:dyDescent="0.25">
      <c r="B713" t="s">
        <v>347</v>
      </c>
      <c r="C713" t="s">
        <v>348</v>
      </c>
      <c r="D713" t="str">
        <f>HYPERLINK("https://rhld.insurance.arkansas.gov/NPILookup?Npi=1780065599","1780065599")</f>
        <v>1780065599</v>
      </c>
      <c r="E713" t="s">
        <v>832</v>
      </c>
      <c r="F713" t="s">
        <v>12</v>
      </c>
      <c r="G713" s="20">
        <v>1</v>
      </c>
      <c r="H713" t="s">
        <v>4338</v>
      </c>
      <c r="I713" t="s">
        <v>32</v>
      </c>
      <c r="J713" s="9"/>
      <c r="K713" s="9"/>
      <c r="L713" s="9"/>
    </row>
    <row r="714" spans="2:12" ht="15" x14ac:dyDescent="0.25">
      <c r="B714" t="s">
        <v>347</v>
      </c>
      <c r="C714" t="s">
        <v>348</v>
      </c>
      <c r="D714" t="str">
        <f>HYPERLINK("https://rhld.insurance.arkansas.gov/NPILookup?Npi=1780734830","1780734830")</f>
        <v>1780734830</v>
      </c>
      <c r="E714" t="s">
        <v>833</v>
      </c>
      <c r="F714" t="s">
        <v>12</v>
      </c>
      <c r="G714" s="20">
        <v>1</v>
      </c>
      <c r="H714" t="s">
        <v>4338</v>
      </c>
      <c r="I714" t="s">
        <v>32</v>
      </c>
      <c r="J714" s="9"/>
      <c r="K714" s="9"/>
      <c r="L714" s="9"/>
    </row>
    <row r="715" spans="2:12" ht="15" x14ac:dyDescent="0.25">
      <c r="B715" t="s">
        <v>347</v>
      </c>
      <c r="C715" t="s">
        <v>348</v>
      </c>
      <c r="D715" t="str">
        <f>HYPERLINK("https://rhld.insurance.arkansas.gov/NPILookup?Npi=1780938951","1780938951")</f>
        <v>1780938951</v>
      </c>
      <c r="E715" t="s">
        <v>834</v>
      </c>
      <c r="F715" t="s">
        <v>12</v>
      </c>
      <c r="G715" s="20">
        <v>1</v>
      </c>
      <c r="H715" t="s">
        <v>4338</v>
      </c>
      <c r="I715" t="s">
        <v>32</v>
      </c>
      <c r="J715" s="9"/>
      <c r="K715" s="9"/>
      <c r="L715" s="9"/>
    </row>
    <row r="716" spans="2:12" ht="15" x14ac:dyDescent="0.25">
      <c r="B716" t="s">
        <v>347</v>
      </c>
      <c r="C716" t="s">
        <v>348</v>
      </c>
      <c r="D716" t="str">
        <f>HYPERLINK("https://rhld.insurance.arkansas.gov/NPILookup?Npi=1790043131","1790043131")</f>
        <v>1790043131</v>
      </c>
      <c r="E716" t="s">
        <v>835</v>
      </c>
      <c r="F716" t="s">
        <v>12</v>
      </c>
      <c r="G716" s="20">
        <v>1</v>
      </c>
      <c r="H716" t="s">
        <v>139</v>
      </c>
      <c r="I716" t="s">
        <v>4357</v>
      </c>
      <c r="J716" s="9"/>
      <c r="K716" s="9"/>
      <c r="L716" s="9"/>
    </row>
    <row r="717" spans="2:12" ht="15" x14ac:dyDescent="0.25">
      <c r="B717" t="s">
        <v>347</v>
      </c>
      <c r="C717" t="s">
        <v>348</v>
      </c>
      <c r="D717" t="str">
        <f>HYPERLINK("https://rhld.insurance.arkansas.gov/NPILookup?Npi=1790198133","1790198133")</f>
        <v>1790198133</v>
      </c>
      <c r="E717" t="s">
        <v>836</v>
      </c>
      <c r="F717" t="s">
        <v>12</v>
      </c>
      <c r="G717" s="20">
        <v>1</v>
      </c>
      <c r="H717" t="s">
        <v>4338</v>
      </c>
      <c r="I717" t="s">
        <v>32</v>
      </c>
      <c r="J717" s="9"/>
      <c r="K717" s="9"/>
      <c r="L717" s="9"/>
    </row>
    <row r="718" spans="2:12" ht="15" x14ac:dyDescent="0.25">
      <c r="B718" t="s">
        <v>347</v>
      </c>
      <c r="C718" t="s">
        <v>348</v>
      </c>
      <c r="D718" t="str">
        <f>HYPERLINK("https://rhld.insurance.arkansas.gov/NPILookup?Npi=1790751329","1790751329")</f>
        <v>1790751329</v>
      </c>
      <c r="E718" t="s">
        <v>837</v>
      </c>
      <c r="F718" t="s">
        <v>12</v>
      </c>
      <c r="G718" s="20">
        <v>1</v>
      </c>
      <c r="H718" t="s">
        <v>4338</v>
      </c>
      <c r="I718" t="s">
        <v>32</v>
      </c>
      <c r="J718" s="9"/>
      <c r="K718" s="9"/>
      <c r="L718" s="9"/>
    </row>
    <row r="719" spans="2:12" ht="15" x14ac:dyDescent="0.25">
      <c r="B719" t="s">
        <v>347</v>
      </c>
      <c r="C719" t="s">
        <v>348</v>
      </c>
      <c r="D719" t="str">
        <f>HYPERLINK("https://rhld.insurance.arkansas.gov/NPILookup?Npi=1801478094","1801478094")</f>
        <v>1801478094</v>
      </c>
      <c r="E719" t="s">
        <v>842</v>
      </c>
      <c r="F719" t="s">
        <v>13</v>
      </c>
      <c r="G719" s="20">
        <v>1</v>
      </c>
      <c r="H719" t="s">
        <v>4357</v>
      </c>
      <c r="I719" t="s">
        <v>4357</v>
      </c>
      <c r="J719" s="9"/>
      <c r="K719" s="9"/>
      <c r="L719" s="9"/>
    </row>
    <row r="720" spans="2:12" ht="15" x14ac:dyDescent="0.25">
      <c r="B720" t="s">
        <v>347</v>
      </c>
      <c r="C720" t="s">
        <v>348</v>
      </c>
      <c r="D720" t="str">
        <f>HYPERLINK("https://rhld.insurance.arkansas.gov/NPILookup?Npi=1801048558","1801048558")</f>
        <v>1801048558</v>
      </c>
      <c r="E720" t="s">
        <v>839</v>
      </c>
      <c r="F720" t="s">
        <v>12</v>
      </c>
      <c r="G720" s="20">
        <v>1</v>
      </c>
      <c r="H720" t="s">
        <v>4338</v>
      </c>
      <c r="I720" t="s">
        <v>32</v>
      </c>
      <c r="J720" s="9"/>
      <c r="K720" s="9"/>
      <c r="L720" s="9"/>
    </row>
    <row r="721" spans="2:12" ht="15" x14ac:dyDescent="0.25">
      <c r="B721" t="s">
        <v>347</v>
      </c>
      <c r="C721" t="s">
        <v>348</v>
      </c>
      <c r="D721" t="str">
        <f>HYPERLINK("https://rhld.insurance.arkansas.gov/NPILookup?Npi=1801235783","1801235783")</f>
        <v>1801235783</v>
      </c>
      <c r="E721" t="s">
        <v>840</v>
      </c>
      <c r="F721" t="s">
        <v>12</v>
      </c>
      <c r="G721" s="20">
        <v>1</v>
      </c>
      <c r="H721" t="s">
        <v>4338</v>
      </c>
      <c r="I721" t="s">
        <v>32</v>
      </c>
      <c r="J721" s="9"/>
      <c r="K721" s="9"/>
      <c r="L721" s="9"/>
    </row>
    <row r="722" spans="2:12" ht="15" x14ac:dyDescent="0.25">
      <c r="B722" t="s">
        <v>347</v>
      </c>
      <c r="C722" t="s">
        <v>348</v>
      </c>
      <c r="D722" t="str">
        <f>HYPERLINK("https://rhld.insurance.arkansas.gov/NPILookup?Npi=1801410527","1801410527")</f>
        <v>1801410527</v>
      </c>
      <c r="E722" t="s">
        <v>841</v>
      </c>
      <c r="F722" t="s">
        <v>12</v>
      </c>
      <c r="G722" s="20">
        <v>1</v>
      </c>
      <c r="H722" t="s">
        <v>4338</v>
      </c>
      <c r="I722" t="s">
        <v>32</v>
      </c>
      <c r="J722" s="9"/>
      <c r="K722" s="9"/>
      <c r="L722" s="9"/>
    </row>
    <row r="723" spans="2:12" ht="15" x14ac:dyDescent="0.25">
      <c r="B723" t="s">
        <v>347</v>
      </c>
      <c r="C723" t="s">
        <v>348</v>
      </c>
      <c r="D723" t="str">
        <f>HYPERLINK("https://rhld.insurance.arkansas.gov/NPILookup?Npi=1821016361","1821016361")</f>
        <v>1821016361</v>
      </c>
      <c r="E723" t="s">
        <v>849</v>
      </c>
      <c r="F723" t="s">
        <v>13</v>
      </c>
      <c r="G723" s="20">
        <v>1</v>
      </c>
      <c r="H723" t="s">
        <v>87</v>
      </c>
      <c r="I723" t="s">
        <v>4357</v>
      </c>
      <c r="J723" s="9"/>
      <c r="K723" s="9"/>
      <c r="L723" s="9"/>
    </row>
    <row r="724" spans="2:12" ht="15" x14ac:dyDescent="0.25">
      <c r="B724" t="s">
        <v>347</v>
      </c>
      <c r="C724" t="s">
        <v>348</v>
      </c>
      <c r="D724" t="str">
        <f>HYPERLINK("https://rhld.insurance.arkansas.gov/NPILookup?Npi=1801878897","1801878897")</f>
        <v>1801878897</v>
      </c>
      <c r="E724" t="s">
        <v>843</v>
      </c>
      <c r="F724" t="s">
        <v>12</v>
      </c>
      <c r="G724" s="20">
        <v>1</v>
      </c>
      <c r="H724" t="s">
        <v>4338</v>
      </c>
      <c r="I724" t="s">
        <v>32</v>
      </c>
      <c r="J724" s="9"/>
      <c r="K724" s="9"/>
      <c r="L724" s="9"/>
    </row>
    <row r="725" spans="2:12" ht="15" x14ac:dyDescent="0.25">
      <c r="B725" t="s">
        <v>347</v>
      </c>
      <c r="C725" t="s">
        <v>348</v>
      </c>
      <c r="D725" t="str">
        <f>HYPERLINK("https://rhld.insurance.arkansas.gov/NPILookup?Npi=1801908108","1801908108")</f>
        <v>1801908108</v>
      </c>
      <c r="E725" t="s">
        <v>844</v>
      </c>
      <c r="F725" t="s">
        <v>12</v>
      </c>
      <c r="G725" s="20">
        <v>1</v>
      </c>
      <c r="H725" t="s">
        <v>4338</v>
      </c>
      <c r="I725" t="s">
        <v>32</v>
      </c>
      <c r="J725" s="9"/>
      <c r="K725" s="9"/>
      <c r="L725" s="9"/>
    </row>
    <row r="726" spans="2:12" ht="15" x14ac:dyDescent="0.25">
      <c r="B726" t="s">
        <v>347</v>
      </c>
      <c r="C726" t="s">
        <v>348</v>
      </c>
      <c r="D726" t="str">
        <f>HYPERLINK("https://rhld.insurance.arkansas.gov/NPILookup?Npi=1811494974","1811494974")</f>
        <v>1811494974</v>
      </c>
      <c r="E726" t="s">
        <v>846</v>
      </c>
      <c r="F726" t="s">
        <v>12</v>
      </c>
      <c r="G726" s="20">
        <v>1</v>
      </c>
      <c r="H726" t="s">
        <v>4338</v>
      </c>
      <c r="I726" t="s">
        <v>32</v>
      </c>
      <c r="J726" s="9"/>
      <c r="K726" s="9"/>
      <c r="L726" s="9"/>
    </row>
    <row r="727" spans="2:12" ht="15" x14ac:dyDescent="0.25">
      <c r="B727" t="s">
        <v>347</v>
      </c>
      <c r="C727" t="s">
        <v>348</v>
      </c>
      <c r="D727" t="str">
        <f>HYPERLINK("https://rhld.insurance.arkansas.gov/NPILookup?Npi=1811525017","1811525017")</f>
        <v>1811525017</v>
      </c>
      <c r="E727" t="s">
        <v>847</v>
      </c>
      <c r="F727" t="s">
        <v>12</v>
      </c>
      <c r="G727" s="20">
        <v>1</v>
      </c>
      <c r="H727" t="s">
        <v>4338</v>
      </c>
      <c r="I727" t="s">
        <v>32</v>
      </c>
      <c r="J727" s="9"/>
      <c r="K727" s="9"/>
      <c r="L727" s="9"/>
    </row>
    <row r="728" spans="2:12" ht="15" x14ac:dyDescent="0.25">
      <c r="B728" t="s">
        <v>347</v>
      </c>
      <c r="C728" t="s">
        <v>348</v>
      </c>
      <c r="D728" t="str">
        <f>HYPERLINK("https://rhld.insurance.arkansas.gov/NPILookup?Npi=1811931397","1811931397")</f>
        <v>1811931397</v>
      </c>
      <c r="E728" t="s">
        <v>848</v>
      </c>
      <c r="F728" t="s">
        <v>12</v>
      </c>
      <c r="G728" s="20">
        <v>1</v>
      </c>
      <c r="H728" t="s">
        <v>4338</v>
      </c>
      <c r="I728" t="s">
        <v>32</v>
      </c>
      <c r="J728" s="9"/>
      <c r="K728" s="9"/>
      <c r="L728" s="9"/>
    </row>
    <row r="729" spans="2:12" ht="15" x14ac:dyDescent="0.25">
      <c r="B729" t="s">
        <v>347</v>
      </c>
      <c r="C729" t="s">
        <v>348</v>
      </c>
      <c r="D729" t="str">
        <f>HYPERLINK("https://rhld.insurance.arkansas.gov/NPILookup?Npi=1821024803","1821024803")</f>
        <v>1821024803</v>
      </c>
      <c r="E729" t="s">
        <v>850</v>
      </c>
      <c r="F729" t="s">
        <v>13</v>
      </c>
      <c r="G729" s="20">
        <v>1</v>
      </c>
      <c r="H729" t="s">
        <v>87</v>
      </c>
      <c r="I729" t="s">
        <v>32</v>
      </c>
      <c r="J729" s="9"/>
      <c r="K729" s="9"/>
      <c r="L729" s="9"/>
    </row>
    <row r="730" spans="2:12" ht="15" x14ac:dyDescent="0.25">
      <c r="B730" t="s">
        <v>347</v>
      </c>
      <c r="C730" t="s">
        <v>348</v>
      </c>
      <c r="D730" t="str">
        <f>HYPERLINK("https://rhld.insurance.arkansas.gov/NPILookup?Npi=1821223595","1821223595")</f>
        <v>1821223595</v>
      </c>
      <c r="E730" t="s">
        <v>854</v>
      </c>
      <c r="F730" t="s">
        <v>13</v>
      </c>
      <c r="G730" s="20">
        <v>1</v>
      </c>
      <c r="H730" t="s">
        <v>4357</v>
      </c>
      <c r="I730" t="s">
        <v>4357</v>
      </c>
      <c r="J730" s="9"/>
      <c r="K730" s="9"/>
      <c r="L730" s="9"/>
    </row>
    <row r="731" spans="2:12" ht="15" x14ac:dyDescent="0.25">
      <c r="B731" t="s">
        <v>347</v>
      </c>
      <c r="C731" t="s">
        <v>348</v>
      </c>
      <c r="D731" t="str">
        <f>HYPERLINK("https://rhld.insurance.arkansas.gov/NPILookup?Npi=1821058991","1821058991")</f>
        <v>1821058991</v>
      </c>
      <c r="E731" t="s">
        <v>851</v>
      </c>
      <c r="F731" t="s">
        <v>12</v>
      </c>
      <c r="G731" s="20">
        <v>1</v>
      </c>
      <c r="H731" t="s">
        <v>4338</v>
      </c>
      <c r="I731" t="s">
        <v>32</v>
      </c>
      <c r="J731" s="9"/>
      <c r="K731" s="9"/>
      <c r="L731" s="9"/>
    </row>
    <row r="732" spans="2:12" ht="15" x14ac:dyDescent="0.25">
      <c r="B732" t="s">
        <v>347</v>
      </c>
      <c r="C732" t="s">
        <v>348</v>
      </c>
      <c r="D732" t="str">
        <f>HYPERLINK("https://rhld.insurance.arkansas.gov/NPILookup?Npi=1821135690","1821135690")</f>
        <v>1821135690</v>
      </c>
      <c r="E732" t="s">
        <v>853</v>
      </c>
      <c r="F732" t="s">
        <v>12</v>
      </c>
      <c r="G732" s="20">
        <v>1</v>
      </c>
      <c r="H732" t="s">
        <v>4338</v>
      </c>
      <c r="I732" t="s">
        <v>32</v>
      </c>
      <c r="J732" s="9"/>
      <c r="K732" s="9"/>
      <c r="L732" s="9"/>
    </row>
    <row r="733" spans="2:12" ht="15" x14ac:dyDescent="0.25">
      <c r="B733" t="s">
        <v>347</v>
      </c>
      <c r="C733" t="s">
        <v>348</v>
      </c>
      <c r="D733" t="str">
        <f>HYPERLINK("https://rhld.insurance.arkansas.gov/NPILookup?Npi=1841243144","1841243144")</f>
        <v>1841243144</v>
      </c>
      <c r="E733" t="s">
        <v>862</v>
      </c>
      <c r="F733" t="s">
        <v>13</v>
      </c>
      <c r="G733" s="20">
        <v>1</v>
      </c>
      <c r="H733" t="s">
        <v>87</v>
      </c>
      <c r="I733" t="s">
        <v>32</v>
      </c>
      <c r="J733" s="9"/>
      <c r="K733" s="9"/>
      <c r="L733" s="9"/>
    </row>
    <row r="734" spans="2:12" ht="15" x14ac:dyDescent="0.25">
      <c r="B734" t="s">
        <v>347</v>
      </c>
      <c r="C734" t="s">
        <v>348</v>
      </c>
      <c r="D734" t="str">
        <f>HYPERLINK("https://rhld.insurance.arkansas.gov/NPILookup?Npi=1821458605","1821458605")</f>
        <v>1821458605</v>
      </c>
      <c r="E734" t="s">
        <v>855</v>
      </c>
      <c r="F734" t="s">
        <v>12</v>
      </c>
      <c r="G734" s="20">
        <v>1</v>
      </c>
      <c r="H734" t="s">
        <v>4338</v>
      </c>
      <c r="I734" t="s">
        <v>32</v>
      </c>
      <c r="J734" s="9"/>
      <c r="K734" s="9"/>
      <c r="L734" s="9"/>
    </row>
    <row r="735" spans="2:12" ht="15" x14ac:dyDescent="0.25">
      <c r="B735" t="s">
        <v>347</v>
      </c>
      <c r="C735" t="s">
        <v>348</v>
      </c>
      <c r="D735" t="str">
        <f>HYPERLINK("https://rhld.insurance.arkansas.gov/NPILookup?Npi=1831178524","1831178524")</f>
        <v>1831178524</v>
      </c>
      <c r="E735" t="s">
        <v>856</v>
      </c>
      <c r="F735" t="s">
        <v>12</v>
      </c>
      <c r="G735" s="20">
        <v>1</v>
      </c>
      <c r="H735" t="s">
        <v>4338</v>
      </c>
      <c r="I735" t="s">
        <v>32</v>
      </c>
      <c r="J735" s="9"/>
      <c r="K735" s="9"/>
      <c r="L735" s="9"/>
    </row>
    <row r="736" spans="2:12" ht="15" x14ac:dyDescent="0.25">
      <c r="B736" t="s">
        <v>347</v>
      </c>
      <c r="C736" t="s">
        <v>348</v>
      </c>
      <c r="D736" t="str">
        <f>HYPERLINK("https://rhld.insurance.arkansas.gov/NPILookup?Npi=1831181247","1831181247")</f>
        <v>1831181247</v>
      </c>
      <c r="E736" t="s">
        <v>857</v>
      </c>
      <c r="F736" t="s">
        <v>12</v>
      </c>
      <c r="G736" s="20">
        <v>1</v>
      </c>
      <c r="H736" t="s">
        <v>4338</v>
      </c>
      <c r="I736" t="s">
        <v>4357</v>
      </c>
      <c r="J736" s="9"/>
      <c r="K736" s="9"/>
      <c r="L736" s="9"/>
    </row>
    <row r="737" spans="2:12" ht="15" x14ac:dyDescent="0.25">
      <c r="B737" t="s">
        <v>347</v>
      </c>
      <c r="C737" t="s">
        <v>348</v>
      </c>
      <c r="D737" t="str">
        <f>HYPERLINK("https://rhld.insurance.arkansas.gov/NPILookup?Npi=1831400852","1831400852")</f>
        <v>1831400852</v>
      </c>
      <c r="E737" t="s">
        <v>859</v>
      </c>
      <c r="F737" t="s">
        <v>12</v>
      </c>
      <c r="G737" s="20">
        <v>1</v>
      </c>
      <c r="H737" t="s">
        <v>4338</v>
      </c>
      <c r="I737" t="s">
        <v>32</v>
      </c>
      <c r="J737" s="9"/>
      <c r="K737" s="9"/>
      <c r="L737" s="9"/>
    </row>
    <row r="738" spans="2:12" ht="15" x14ac:dyDescent="0.25">
      <c r="B738" t="s">
        <v>347</v>
      </c>
      <c r="C738" t="s">
        <v>348</v>
      </c>
      <c r="D738" t="str">
        <f>HYPERLINK("https://rhld.insurance.arkansas.gov/NPILookup?Npi=1831487396","1831487396")</f>
        <v>1831487396</v>
      </c>
      <c r="E738" t="s">
        <v>860</v>
      </c>
      <c r="F738" t="s">
        <v>12</v>
      </c>
      <c r="G738" s="20">
        <v>1</v>
      </c>
      <c r="H738" t="s">
        <v>4338</v>
      </c>
      <c r="I738" t="s">
        <v>32</v>
      </c>
      <c r="J738" s="9"/>
      <c r="K738" s="9"/>
      <c r="L738" s="9"/>
    </row>
    <row r="739" spans="2:12" ht="15" x14ac:dyDescent="0.25">
      <c r="B739" t="s">
        <v>347</v>
      </c>
      <c r="C739" t="s">
        <v>348</v>
      </c>
      <c r="D739" t="str">
        <f>HYPERLINK("https://rhld.insurance.arkansas.gov/NPILookup?Npi=1841227071","1841227071")</f>
        <v>1841227071</v>
      </c>
      <c r="E739" t="s">
        <v>861</v>
      </c>
      <c r="F739" t="s">
        <v>12</v>
      </c>
      <c r="G739" s="20">
        <v>1</v>
      </c>
      <c r="H739" t="s">
        <v>4338</v>
      </c>
      <c r="I739" t="s">
        <v>32</v>
      </c>
      <c r="J739" s="9"/>
      <c r="K739" s="9"/>
      <c r="L739" s="9"/>
    </row>
    <row r="740" spans="2:12" ht="15" x14ac:dyDescent="0.25">
      <c r="B740" t="s">
        <v>347</v>
      </c>
      <c r="C740" t="s">
        <v>348</v>
      </c>
      <c r="D740" t="str">
        <f>HYPERLINK("https://rhld.insurance.arkansas.gov/NPILookup?Npi=1861029506","1861029506")</f>
        <v>1861029506</v>
      </c>
      <c r="E740" t="s">
        <v>872</v>
      </c>
      <c r="F740" t="s">
        <v>13</v>
      </c>
      <c r="G740" s="20">
        <v>1</v>
      </c>
      <c r="H740" t="s">
        <v>87</v>
      </c>
      <c r="I740" t="s">
        <v>4357</v>
      </c>
      <c r="J740" s="9"/>
      <c r="K740" s="9"/>
      <c r="L740" s="9"/>
    </row>
    <row r="741" spans="2:12" ht="15" x14ac:dyDescent="0.25">
      <c r="B741" t="s">
        <v>347</v>
      </c>
      <c r="C741" t="s">
        <v>348</v>
      </c>
      <c r="D741" t="str">
        <f>HYPERLINK("https://rhld.insurance.arkansas.gov/NPILookup?Npi=1841291762","1841291762")</f>
        <v>1841291762</v>
      </c>
      <c r="E741" t="s">
        <v>863</v>
      </c>
      <c r="F741" t="s">
        <v>12</v>
      </c>
      <c r="G741" s="20">
        <v>1</v>
      </c>
      <c r="H741" t="s">
        <v>4338</v>
      </c>
      <c r="I741" t="s">
        <v>4357</v>
      </c>
      <c r="J741" s="9"/>
      <c r="K741" s="9"/>
      <c r="L741" s="9"/>
    </row>
    <row r="742" spans="2:12" ht="15" x14ac:dyDescent="0.25">
      <c r="B742" t="s">
        <v>347</v>
      </c>
      <c r="C742" t="s">
        <v>348</v>
      </c>
      <c r="D742" t="str">
        <f>HYPERLINK("https://rhld.insurance.arkansas.gov/NPILookup?Npi=1841684073","1841684073")</f>
        <v>1841684073</v>
      </c>
      <c r="E742" t="s">
        <v>864</v>
      </c>
      <c r="F742" t="s">
        <v>12</v>
      </c>
      <c r="G742" s="20">
        <v>1</v>
      </c>
      <c r="H742" t="s">
        <v>4338</v>
      </c>
      <c r="I742" t="s">
        <v>32</v>
      </c>
      <c r="J742" s="9"/>
      <c r="K742" s="9"/>
      <c r="L742" s="9"/>
    </row>
    <row r="743" spans="2:12" ht="15" x14ac:dyDescent="0.25">
      <c r="B743" t="s">
        <v>347</v>
      </c>
      <c r="C743" t="s">
        <v>348</v>
      </c>
      <c r="D743" t="str">
        <f>HYPERLINK("https://rhld.insurance.arkansas.gov/NPILookup?Npi=1851403422","1851403422")</f>
        <v>1851403422</v>
      </c>
      <c r="E743" t="s">
        <v>866</v>
      </c>
      <c r="F743" t="s">
        <v>12</v>
      </c>
      <c r="G743" s="20">
        <v>1</v>
      </c>
      <c r="H743" t="s">
        <v>4338</v>
      </c>
      <c r="I743" t="s">
        <v>32</v>
      </c>
      <c r="J743" s="9"/>
      <c r="K743" s="9"/>
      <c r="L743" s="9"/>
    </row>
    <row r="744" spans="2:12" ht="15" x14ac:dyDescent="0.25">
      <c r="B744" t="s">
        <v>347</v>
      </c>
      <c r="C744" t="s">
        <v>348</v>
      </c>
      <c r="D744" t="str">
        <f>HYPERLINK("https://rhld.insurance.arkansas.gov/NPILookup?Npi=1851470140","1851470140")</f>
        <v>1851470140</v>
      </c>
      <c r="E744" t="s">
        <v>867</v>
      </c>
      <c r="F744" t="s">
        <v>12</v>
      </c>
      <c r="G744" s="20">
        <v>1</v>
      </c>
      <c r="H744" t="s">
        <v>4338</v>
      </c>
      <c r="I744" t="s">
        <v>32</v>
      </c>
      <c r="J744" s="9"/>
      <c r="K744" s="9"/>
      <c r="L744" s="9"/>
    </row>
    <row r="745" spans="2:12" ht="15" x14ac:dyDescent="0.25">
      <c r="B745" t="s">
        <v>347</v>
      </c>
      <c r="C745" t="s">
        <v>348</v>
      </c>
      <c r="D745" t="str">
        <f>HYPERLINK("https://rhld.insurance.arkansas.gov/NPILookup?Npi=1851505358","1851505358")</f>
        <v>1851505358</v>
      </c>
      <c r="E745" t="s">
        <v>868</v>
      </c>
      <c r="F745" t="s">
        <v>12</v>
      </c>
      <c r="G745" s="20">
        <v>1</v>
      </c>
      <c r="H745" t="s">
        <v>4338</v>
      </c>
      <c r="I745" t="s">
        <v>32</v>
      </c>
      <c r="J745" s="9"/>
      <c r="K745" s="9"/>
      <c r="L745" s="9"/>
    </row>
    <row r="746" spans="2:12" ht="15" x14ac:dyDescent="0.25">
      <c r="B746" t="s">
        <v>347</v>
      </c>
      <c r="C746" t="s">
        <v>348</v>
      </c>
      <c r="D746" t="str">
        <f>HYPERLINK("https://rhld.insurance.arkansas.gov/NPILookup?Npi=1851682694","1851682694")</f>
        <v>1851682694</v>
      </c>
      <c r="E746" t="s">
        <v>870</v>
      </c>
      <c r="F746" t="s">
        <v>12</v>
      </c>
      <c r="G746" s="20">
        <v>1</v>
      </c>
      <c r="H746" t="s">
        <v>4338</v>
      </c>
      <c r="I746" t="s">
        <v>32</v>
      </c>
      <c r="J746" s="9"/>
      <c r="K746" s="9"/>
      <c r="L746" s="9"/>
    </row>
    <row r="747" spans="2:12" ht="15" x14ac:dyDescent="0.25">
      <c r="B747" t="s">
        <v>347</v>
      </c>
      <c r="C747" t="s">
        <v>348</v>
      </c>
      <c r="D747" t="str">
        <f>HYPERLINK("https://rhld.insurance.arkansas.gov/NPILookup?Npi=1881330850","1881330850")</f>
        <v>1881330850</v>
      </c>
      <c r="E747" t="s">
        <v>884</v>
      </c>
      <c r="F747" t="s">
        <v>13</v>
      </c>
      <c r="G747" s="20">
        <v>1</v>
      </c>
      <c r="H747" t="s">
        <v>4357</v>
      </c>
      <c r="I747" t="s">
        <v>4357</v>
      </c>
      <c r="J747" s="9"/>
      <c r="K747" s="9"/>
      <c r="L747" s="9"/>
    </row>
    <row r="748" spans="2:12" ht="15" x14ac:dyDescent="0.25">
      <c r="B748" t="s">
        <v>347</v>
      </c>
      <c r="C748" t="s">
        <v>348</v>
      </c>
      <c r="D748" t="str">
        <f>HYPERLINK("https://rhld.insurance.arkansas.gov/NPILookup?Npi=1861683435","1861683435")</f>
        <v>1861683435</v>
      </c>
      <c r="E748" t="s">
        <v>874</v>
      </c>
      <c r="F748" t="s">
        <v>12</v>
      </c>
      <c r="G748" s="20">
        <v>1</v>
      </c>
      <c r="H748" t="s">
        <v>4338</v>
      </c>
      <c r="I748" t="s">
        <v>32</v>
      </c>
      <c r="J748" s="9"/>
      <c r="K748" s="9"/>
      <c r="L748" s="9"/>
    </row>
    <row r="749" spans="2:12" ht="15" x14ac:dyDescent="0.25">
      <c r="B749" t="s">
        <v>347</v>
      </c>
      <c r="C749" t="s">
        <v>348</v>
      </c>
      <c r="D749" t="str">
        <f>HYPERLINK("https://rhld.insurance.arkansas.gov/NPILookup?Npi=1861686354","1861686354")</f>
        <v>1861686354</v>
      </c>
      <c r="E749" t="s">
        <v>133</v>
      </c>
      <c r="F749" t="s">
        <v>12</v>
      </c>
      <c r="G749" s="20">
        <v>1</v>
      </c>
      <c r="H749" t="s">
        <v>4338</v>
      </c>
      <c r="I749" t="s">
        <v>32</v>
      </c>
      <c r="J749" s="9"/>
      <c r="K749" s="9"/>
      <c r="L749" s="9"/>
    </row>
    <row r="750" spans="2:12" ht="15" x14ac:dyDescent="0.25">
      <c r="B750" t="s">
        <v>347</v>
      </c>
      <c r="C750" t="s">
        <v>348</v>
      </c>
      <c r="D750" t="str">
        <f>HYPERLINK("https://rhld.insurance.arkansas.gov/NPILookup?Npi=1861710550","1861710550")</f>
        <v>1861710550</v>
      </c>
      <c r="E750" t="s">
        <v>875</v>
      </c>
      <c r="F750" t="s">
        <v>12</v>
      </c>
      <c r="G750" s="20">
        <v>1</v>
      </c>
      <c r="H750" t="s">
        <v>4338</v>
      </c>
      <c r="I750" t="s">
        <v>32</v>
      </c>
      <c r="J750" s="9"/>
      <c r="K750" s="9"/>
      <c r="L750" s="9"/>
    </row>
    <row r="751" spans="2:12" ht="15" x14ac:dyDescent="0.25">
      <c r="B751" t="s">
        <v>347</v>
      </c>
      <c r="C751" t="s">
        <v>348</v>
      </c>
      <c r="D751" t="str">
        <f>HYPERLINK("https://rhld.insurance.arkansas.gov/NPILookup?Npi=1861835670","1861835670")</f>
        <v>1861835670</v>
      </c>
      <c r="E751" t="s">
        <v>876</v>
      </c>
      <c r="F751" t="s">
        <v>12</v>
      </c>
      <c r="G751" s="20">
        <v>1</v>
      </c>
      <c r="H751" t="s">
        <v>4338</v>
      </c>
      <c r="I751" t="s">
        <v>32</v>
      </c>
      <c r="J751" s="9"/>
      <c r="K751" s="9"/>
      <c r="L751" s="9"/>
    </row>
    <row r="752" spans="2:12" ht="15" x14ac:dyDescent="0.25">
      <c r="B752" t="s">
        <v>347</v>
      </c>
      <c r="C752" t="s">
        <v>348</v>
      </c>
      <c r="D752" t="str">
        <f>HYPERLINK("https://rhld.insurance.arkansas.gov/NPILookup?Npi=1871556639","1871556639")</f>
        <v>1871556639</v>
      </c>
      <c r="E752" t="s">
        <v>877</v>
      </c>
      <c r="F752" t="s">
        <v>12</v>
      </c>
      <c r="G752" s="20">
        <v>1</v>
      </c>
      <c r="H752" t="s">
        <v>4338</v>
      </c>
      <c r="I752" t="s">
        <v>32</v>
      </c>
      <c r="J752" s="9"/>
      <c r="K752" s="9"/>
      <c r="L752" s="9"/>
    </row>
    <row r="753" spans="2:12" ht="15" x14ac:dyDescent="0.25">
      <c r="B753" t="s">
        <v>347</v>
      </c>
      <c r="C753" t="s">
        <v>348</v>
      </c>
      <c r="D753" t="str">
        <f>HYPERLINK("https://rhld.insurance.arkansas.gov/NPILookup?Npi=1871578500","1871578500")</f>
        <v>1871578500</v>
      </c>
      <c r="E753" t="s">
        <v>878</v>
      </c>
      <c r="F753" t="s">
        <v>12</v>
      </c>
      <c r="G753" s="20">
        <v>1</v>
      </c>
      <c r="H753" t="s">
        <v>4338</v>
      </c>
      <c r="I753" t="s">
        <v>32</v>
      </c>
      <c r="J753" s="9"/>
      <c r="K753" s="9"/>
      <c r="L753" s="9"/>
    </row>
    <row r="754" spans="2:12" ht="15" x14ac:dyDescent="0.25">
      <c r="B754" t="s">
        <v>347</v>
      </c>
      <c r="C754" t="s">
        <v>348</v>
      </c>
      <c r="D754" t="str">
        <f>HYPERLINK("https://rhld.insurance.arkansas.gov/NPILookup?Npi=1871594663","1871594663")</f>
        <v>1871594663</v>
      </c>
      <c r="E754" t="s">
        <v>879</v>
      </c>
      <c r="F754" t="s">
        <v>12</v>
      </c>
      <c r="G754" s="20">
        <v>1</v>
      </c>
      <c r="H754" t="s">
        <v>4338</v>
      </c>
      <c r="I754" t="s">
        <v>32</v>
      </c>
      <c r="J754" s="9"/>
      <c r="K754" s="9"/>
      <c r="L754" s="9"/>
    </row>
    <row r="755" spans="2:12" ht="15" x14ac:dyDescent="0.25">
      <c r="B755" t="s">
        <v>347</v>
      </c>
      <c r="C755" t="s">
        <v>348</v>
      </c>
      <c r="D755" t="str">
        <f>HYPERLINK("https://rhld.insurance.arkansas.gov/NPILookup?Npi=1871622969","1871622969")</f>
        <v>1871622969</v>
      </c>
      <c r="E755" t="s">
        <v>880</v>
      </c>
      <c r="F755" t="s">
        <v>12</v>
      </c>
      <c r="G755" s="20">
        <v>1</v>
      </c>
      <c r="H755" t="s">
        <v>4338</v>
      </c>
      <c r="I755" t="s">
        <v>4357</v>
      </c>
      <c r="J755" s="9"/>
      <c r="K755" s="9"/>
      <c r="L755" s="9"/>
    </row>
    <row r="756" spans="2:12" ht="15" x14ac:dyDescent="0.25">
      <c r="B756" t="s">
        <v>347</v>
      </c>
      <c r="C756" t="s">
        <v>348</v>
      </c>
      <c r="D756" t="str">
        <f>HYPERLINK("https://rhld.insurance.arkansas.gov/NPILookup?Npi=1871760629","1871760629")</f>
        <v>1871760629</v>
      </c>
      <c r="E756" t="s">
        <v>881</v>
      </c>
      <c r="F756" t="s">
        <v>12</v>
      </c>
      <c r="G756" s="20">
        <v>1</v>
      </c>
      <c r="H756" t="s">
        <v>4338</v>
      </c>
      <c r="I756" t="s">
        <v>32</v>
      </c>
      <c r="J756" s="9"/>
      <c r="K756" s="9"/>
      <c r="L756" s="9"/>
    </row>
    <row r="757" spans="2:12" ht="15" x14ac:dyDescent="0.25">
      <c r="B757" t="s">
        <v>347</v>
      </c>
      <c r="C757" t="s">
        <v>348</v>
      </c>
      <c r="D757" t="str">
        <f>HYPERLINK("https://rhld.insurance.arkansas.gov/NPILookup?Npi=1881035244","1881035244")</f>
        <v>1881035244</v>
      </c>
      <c r="E757" t="s">
        <v>882</v>
      </c>
      <c r="F757" t="s">
        <v>12</v>
      </c>
      <c r="G757" s="20">
        <v>1</v>
      </c>
      <c r="H757" t="s">
        <v>139</v>
      </c>
      <c r="I757" t="s">
        <v>32</v>
      </c>
      <c r="J757" s="9"/>
      <c r="K757" s="9"/>
      <c r="L757" s="9"/>
    </row>
    <row r="758" spans="2:12" ht="15" x14ac:dyDescent="0.25">
      <c r="B758" t="s">
        <v>347</v>
      </c>
      <c r="C758" t="s">
        <v>348</v>
      </c>
      <c r="D758" t="str">
        <f>HYPERLINK("https://rhld.insurance.arkansas.gov/NPILookup?Npi=1881072544","1881072544")</f>
        <v>1881072544</v>
      </c>
      <c r="E758" t="s">
        <v>883</v>
      </c>
      <c r="F758" t="s">
        <v>12</v>
      </c>
      <c r="G758" s="20">
        <v>1</v>
      </c>
      <c r="H758" t="s">
        <v>4338</v>
      </c>
      <c r="I758" t="s">
        <v>32</v>
      </c>
      <c r="J758" s="9"/>
      <c r="K758" s="9"/>
      <c r="L758" s="9"/>
    </row>
    <row r="759" spans="2:12" ht="15" x14ac:dyDescent="0.25">
      <c r="B759" t="s">
        <v>347</v>
      </c>
      <c r="C759" t="s">
        <v>348</v>
      </c>
      <c r="D759" t="str">
        <f>HYPERLINK("https://rhld.insurance.arkansas.gov/NPILookup?Npi=1902820004","1902820004")</f>
        <v>1902820004</v>
      </c>
      <c r="E759" t="s">
        <v>892</v>
      </c>
      <c r="F759" t="s">
        <v>13</v>
      </c>
      <c r="G759" s="20">
        <v>1</v>
      </c>
      <c r="H759" t="s">
        <v>87</v>
      </c>
      <c r="I759" t="s">
        <v>32</v>
      </c>
      <c r="J759" s="9"/>
      <c r="K759" s="9"/>
      <c r="L759" s="9"/>
    </row>
    <row r="760" spans="2:12" ht="15" x14ac:dyDescent="0.25">
      <c r="B760" t="s">
        <v>347</v>
      </c>
      <c r="C760" t="s">
        <v>348</v>
      </c>
      <c r="D760" t="str">
        <f>HYPERLINK("https://rhld.insurance.arkansas.gov/NPILookup?Npi=1881784445","1881784445")</f>
        <v>1881784445</v>
      </c>
      <c r="E760" t="s">
        <v>885</v>
      </c>
      <c r="F760" t="s">
        <v>12</v>
      </c>
      <c r="G760" s="20">
        <v>1</v>
      </c>
      <c r="H760" t="s">
        <v>4338</v>
      </c>
      <c r="I760" t="s">
        <v>32</v>
      </c>
      <c r="J760" s="9"/>
      <c r="K760" s="9"/>
      <c r="L760" s="9"/>
    </row>
    <row r="761" spans="2:12" ht="15" x14ac:dyDescent="0.25">
      <c r="B761" t="s">
        <v>347</v>
      </c>
      <c r="C761" t="s">
        <v>348</v>
      </c>
      <c r="D761" t="str">
        <f>HYPERLINK("https://rhld.insurance.arkansas.gov/NPILookup?Npi=1881936797","1881936797")</f>
        <v>1881936797</v>
      </c>
      <c r="E761" t="s">
        <v>886</v>
      </c>
      <c r="F761" t="s">
        <v>12</v>
      </c>
      <c r="G761" s="20">
        <v>1</v>
      </c>
      <c r="H761" t="s">
        <v>4338</v>
      </c>
      <c r="I761" t="s">
        <v>32</v>
      </c>
      <c r="J761" s="9"/>
      <c r="K761" s="9"/>
      <c r="L761" s="9"/>
    </row>
    <row r="762" spans="2:12" ht="15" x14ac:dyDescent="0.25">
      <c r="B762" t="s">
        <v>347</v>
      </c>
      <c r="C762" t="s">
        <v>348</v>
      </c>
      <c r="D762" t="str">
        <f>HYPERLINK("https://rhld.insurance.arkansas.gov/NPILookup?Npi=1891131157","1891131157")</f>
        <v>1891131157</v>
      </c>
      <c r="E762" t="s">
        <v>887</v>
      </c>
      <c r="F762" t="s">
        <v>12</v>
      </c>
      <c r="G762" s="20">
        <v>1</v>
      </c>
      <c r="H762" t="s">
        <v>139</v>
      </c>
      <c r="I762" t="s">
        <v>32</v>
      </c>
      <c r="J762" s="9"/>
      <c r="K762" s="9"/>
      <c r="L762" s="9"/>
    </row>
    <row r="763" spans="2:12" ht="15" x14ac:dyDescent="0.25">
      <c r="B763" t="s">
        <v>347</v>
      </c>
      <c r="C763" t="s">
        <v>348</v>
      </c>
      <c r="D763" t="str">
        <f>HYPERLINK("https://rhld.insurance.arkansas.gov/NPILookup?Npi=1891170676","1891170676")</f>
        <v>1891170676</v>
      </c>
      <c r="E763" t="s">
        <v>888</v>
      </c>
      <c r="F763" t="s">
        <v>12</v>
      </c>
      <c r="G763" s="20">
        <v>1</v>
      </c>
      <c r="H763" t="s">
        <v>4338</v>
      </c>
      <c r="I763" t="s">
        <v>32</v>
      </c>
      <c r="J763" s="9"/>
      <c r="K763" s="9"/>
      <c r="L763" s="9"/>
    </row>
    <row r="764" spans="2:12" ht="15" x14ac:dyDescent="0.25">
      <c r="B764" t="s">
        <v>347</v>
      </c>
      <c r="C764" t="s">
        <v>348</v>
      </c>
      <c r="D764" t="str">
        <f>HYPERLINK("https://rhld.insurance.arkansas.gov/NPILookup?Npi=1891880555","1891880555")</f>
        <v>1891880555</v>
      </c>
      <c r="E764" t="s">
        <v>890</v>
      </c>
      <c r="F764" t="s">
        <v>12</v>
      </c>
      <c r="G764" s="20">
        <v>1</v>
      </c>
      <c r="H764" t="s">
        <v>4338</v>
      </c>
      <c r="I764" t="s">
        <v>32</v>
      </c>
      <c r="J764" s="9"/>
      <c r="K764" s="9"/>
      <c r="L764" s="9"/>
    </row>
    <row r="765" spans="2:12" ht="15" x14ac:dyDescent="0.25">
      <c r="B765" t="s">
        <v>347</v>
      </c>
      <c r="C765" t="s">
        <v>348</v>
      </c>
      <c r="D765" t="str">
        <f>HYPERLINK("https://rhld.insurance.arkansas.gov/NPILookup?Npi=1902245889","1902245889")</f>
        <v>1902245889</v>
      </c>
      <c r="E765" t="s">
        <v>891</v>
      </c>
      <c r="F765" t="s">
        <v>12</v>
      </c>
      <c r="G765" s="20">
        <v>1</v>
      </c>
      <c r="H765" t="s">
        <v>4338</v>
      </c>
      <c r="I765" t="s">
        <v>32</v>
      </c>
      <c r="J765" s="9"/>
      <c r="K765" s="9"/>
      <c r="L765" s="9"/>
    </row>
    <row r="766" spans="2:12" ht="15" x14ac:dyDescent="0.25">
      <c r="B766" t="s">
        <v>347</v>
      </c>
      <c r="C766" t="s">
        <v>348</v>
      </c>
      <c r="D766" t="str">
        <f>HYPERLINK("https://rhld.insurance.arkansas.gov/NPILookup?Npi=1912946021","1912946021")</f>
        <v>1912946021</v>
      </c>
      <c r="E766" t="s">
        <v>895</v>
      </c>
      <c r="F766" t="s">
        <v>13</v>
      </c>
      <c r="G766" s="20">
        <v>1</v>
      </c>
      <c r="H766" t="s">
        <v>87</v>
      </c>
      <c r="I766" t="s">
        <v>32</v>
      </c>
      <c r="J766" s="9"/>
      <c r="K766" s="9"/>
      <c r="L766" s="9"/>
    </row>
    <row r="767" spans="2:12" ht="15" x14ac:dyDescent="0.25">
      <c r="B767" t="s">
        <v>347</v>
      </c>
      <c r="C767" t="s">
        <v>348</v>
      </c>
      <c r="D767" t="str">
        <f>HYPERLINK("https://rhld.insurance.arkansas.gov/NPILookup?Npi=1912208067","1912208067")</f>
        <v>1912208067</v>
      </c>
      <c r="E767" t="s">
        <v>893</v>
      </c>
      <c r="F767" t="s">
        <v>12</v>
      </c>
      <c r="G767" s="20">
        <v>1</v>
      </c>
      <c r="H767" t="s">
        <v>4338</v>
      </c>
      <c r="I767" t="s">
        <v>32</v>
      </c>
      <c r="J767" s="9"/>
      <c r="K767" s="9"/>
      <c r="L767" s="9"/>
    </row>
    <row r="768" spans="2:12" ht="15" x14ac:dyDescent="0.25">
      <c r="B768" t="s">
        <v>347</v>
      </c>
      <c r="C768" t="s">
        <v>348</v>
      </c>
      <c r="D768" t="str">
        <f>HYPERLINK("https://rhld.insurance.arkansas.gov/NPILookup?Npi=1912529090","1912529090")</f>
        <v>1912529090</v>
      </c>
      <c r="E768" t="s">
        <v>894</v>
      </c>
      <c r="F768" t="s">
        <v>12</v>
      </c>
      <c r="G768" s="20">
        <v>1</v>
      </c>
      <c r="H768" t="s">
        <v>4338</v>
      </c>
      <c r="I768" t="s">
        <v>32</v>
      </c>
      <c r="J768" s="9"/>
      <c r="K768" s="9"/>
      <c r="L768" s="9"/>
    </row>
    <row r="769" spans="2:12" ht="15" x14ac:dyDescent="0.25">
      <c r="B769" t="s">
        <v>347</v>
      </c>
      <c r="C769" t="s">
        <v>348</v>
      </c>
      <c r="D769" t="str">
        <f>HYPERLINK("https://rhld.insurance.arkansas.gov/NPILookup?Npi=1922036268","1922036268")</f>
        <v>1922036268</v>
      </c>
      <c r="E769" t="s">
        <v>897</v>
      </c>
      <c r="F769" t="s">
        <v>13</v>
      </c>
      <c r="G769" s="20">
        <v>1</v>
      </c>
      <c r="H769" t="s">
        <v>87</v>
      </c>
      <c r="I769" t="s">
        <v>32</v>
      </c>
      <c r="J769" s="9"/>
      <c r="K769" s="9"/>
      <c r="L769" s="9"/>
    </row>
    <row r="770" spans="2:12" ht="15" x14ac:dyDescent="0.25">
      <c r="B770" t="s">
        <v>347</v>
      </c>
      <c r="C770" t="s">
        <v>348</v>
      </c>
      <c r="D770" t="str">
        <f>HYPERLINK("https://rhld.insurance.arkansas.gov/NPILookup?Npi=1912948902","1912948902")</f>
        <v>1912948902</v>
      </c>
      <c r="E770" t="s">
        <v>896</v>
      </c>
      <c r="F770" t="s">
        <v>12</v>
      </c>
      <c r="G770" s="20">
        <v>1</v>
      </c>
      <c r="H770" t="s">
        <v>4338</v>
      </c>
      <c r="I770" t="s">
        <v>32</v>
      </c>
      <c r="J770" s="9"/>
      <c r="K770" s="9"/>
      <c r="L770" s="9"/>
    </row>
    <row r="771" spans="2:12" ht="15" x14ac:dyDescent="0.25">
      <c r="B771" t="s">
        <v>347</v>
      </c>
      <c r="C771" t="s">
        <v>348</v>
      </c>
      <c r="D771" t="str">
        <f>HYPERLINK("https://rhld.insurance.arkansas.gov/NPILookup?Npi=1922094432","1922094432")</f>
        <v>1922094432</v>
      </c>
      <c r="E771" t="s">
        <v>899</v>
      </c>
      <c r="F771" t="s">
        <v>13</v>
      </c>
      <c r="G771" s="20">
        <v>1</v>
      </c>
      <c r="H771" t="s">
        <v>87</v>
      </c>
      <c r="I771" t="s">
        <v>32</v>
      </c>
      <c r="J771" s="9"/>
      <c r="K771" s="9"/>
      <c r="L771" s="9"/>
    </row>
    <row r="772" spans="2:12" ht="15" x14ac:dyDescent="0.25">
      <c r="B772" t="s">
        <v>347</v>
      </c>
      <c r="C772" t="s">
        <v>348</v>
      </c>
      <c r="D772" t="str">
        <f>HYPERLINK("https://rhld.insurance.arkansas.gov/NPILookup?Npi=1922090836","1922090836")</f>
        <v>1922090836</v>
      </c>
      <c r="E772" t="s">
        <v>898</v>
      </c>
      <c r="F772" t="s">
        <v>12</v>
      </c>
      <c r="G772" s="20">
        <v>1</v>
      </c>
      <c r="H772" t="s">
        <v>4338</v>
      </c>
      <c r="I772" t="s">
        <v>32</v>
      </c>
      <c r="J772" s="9"/>
      <c r="K772" s="9"/>
      <c r="L772" s="9"/>
    </row>
    <row r="773" spans="2:12" ht="15" x14ac:dyDescent="0.25">
      <c r="B773" t="s">
        <v>347</v>
      </c>
      <c r="C773" t="s">
        <v>348</v>
      </c>
      <c r="D773" t="str">
        <f>HYPERLINK("https://rhld.insurance.arkansas.gov/NPILookup?Npi=1922442813","1922442813")</f>
        <v>1922442813</v>
      </c>
      <c r="E773" t="s">
        <v>901</v>
      </c>
      <c r="F773" t="s">
        <v>13</v>
      </c>
      <c r="G773" s="20">
        <v>1</v>
      </c>
      <c r="H773" t="s">
        <v>87</v>
      </c>
      <c r="I773" t="s">
        <v>4357</v>
      </c>
      <c r="J773" s="9"/>
      <c r="K773" s="9"/>
      <c r="L773" s="9"/>
    </row>
    <row r="774" spans="2:12" ht="15" x14ac:dyDescent="0.25">
      <c r="B774" t="s">
        <v>347</v>
      </c>
      <c r="C774" t="s">
        <v>348</v>
      </c>
      <c r="D774" t="str">
        <f>HYPERLINK("https://rhld.insurance.arkansas.gov/NPILookup?Npi=1922268911","1922268911")</f>
        <v>1922268911</v>
      </c>
      <c r="E774" t="s">
        <v>900</v>
      </c>
      <c r="F774" t="s">
        <v>12</v>
      </c>
      <c r="G774" s="20">
        <v>1</v>
      </c>
      <c r="H774" t="s">
        <v>4338</v>
      </c>
      <c r="I774" t="s">
        <v>32</v>
      </c>
      <c r="J774" s="9"/>
      <c r="K774" s="9"/>
      <c r="L774" s="9"/>
    </row>
    <row r="775" spans="2:12" ht="15" x14ac:dyDescent="0.25">
      <c r="B775" t="s">
        <v>347</v>
      </c>
      <c r="C775" t="s">
        <v>348</v>
      </c>
      <c r="D775" t="str">
        <f>HYPERLINK("https://rhld.insurance.arkansas.gov/NPILookup?Npi=1932249521","1932249521")</f>
        <v>1932249521</v>
      </c>
      <c r="E775" t="s">
        <v>905</v>
      </c>
      <c r="F775" t="s">
        <v>13</v>
      </c>
      <c r="G775" s="20">
        <v>2</v>
      </c>
      <c r="H775" t="s">
        <v>439</v>
      </c>
      <c r="I775" t="s">
        <v>4357</v>
      </c>
      <c r="J775" s="9"/>
      <c r="K775" s="9"/>
      <c r="L775" s="9"/>
    </row>
    <row r="776" spans="2:12" ht="15" x14ac:dyDescent="0.25">
      <c r="B776" t="s">
        <v>347</v>
      </c>
      <c r="C776" t="s">
        <v>348</v>
      </c>
      <c r="D776" t="str">
        <f>HYPERLINK("https://rhld.insurance.arkansas.gov/NPILookup?Npi=1932173259","1932173259")</f>
        <v>1932173259</v>
      </c>
      <c r="E776" t="s">
        <v>902</v>
      </c>
      <c r="F776" t="s">
        <v>12</v>
      </c>
      <c r="G776" s="20">
        <v>1</v>
      </c>
      <c r="H776" t="s">
        <v>4338</v>
      </c>
      <c r="I776" t="s">
        <v>32</v>
      </c>
      <c r="J776" s="9"/>
      <c r="K776" s="9"/>
      <c r="L776" s="9"/>
    </row>
    <row r="777" spans="2:12" ht="15" x14ac:dyDescent="0.25">
      <c r="B777" t="s">
        <v>347</v>
      </c>
      <c r="C777" t="s">
        <v>348</v>
      </c>
      <c r="D777" t="str">
        <f>HYPERLINK("https://rhld.insurance.arkansas.gov/NPILookup?Npi=1932193687","1932193687")</f>
        <v>1932193687</v>
      </c>
      <c r="E777" t="s">
        <v>903</v>
      </c>
      <c r="F777" t="s">
        <v>12</v>
      </c>
      <c r="G777" s="20">
        <v>1</v>
      </c>
      <c r="H777" t="s">
        <v>4338</v>
      </c>
      <c r="I777" t="s">
        <v>32</v>
      </c>
      <c r="J777" s="9"/>
      <c r="K777" s="9"/>
      <c r="L777" s="9"/>
    </row>
    <row r="778" spans="2:12" ht="15" x14ac:dyDescent="0.25">
      <c r="B778" t="s">
        <v>347</v>
      </c>
      <c r="C778" t="s">
        <v>348</v>
      </c>
      <c r="D778" t="str">
        <f>HYPERLINK("https://rhld.insurance.arkansas.gov/NPILookup?Npi=1932197241","1932197241")</f>
        <v>1932197241</v>
      </c>
      <c r="E778" t="s">
        <v>904</v>
      </c>
      <c r="F778" t="s">
        <v>12</v>
      </c>
      <c r="G778" s="20">
        <v>1</v>
      </c>
      <c r="H778" t="s">
        <v>4338</v>
      </c>
      <c r="I778" t="s">
        <v>32</v>
      </c>
      <c r="J778" s="9"/>
      <c r="K778" s="9"/>
      <c r="L778" s="9"/>
    </row>
    <row r="779" spans="2:12" ht="15" x14ac:dyDescent="0.25">
      <c r="B779" t="s">
        <v>347</v>
      </c>
      <c r="C779" t="s">
        <v>348</v>
      </c>
      <c r="D779" t="str">
        <f>HYPERLINK("https://rhld.insurance.arkansas.gov/NPILookup?Npi=1952492969","1952492969")</f>
        <v>1952492969</v>
      </c>
      <c r="E779" t="s">
        <v>918</v>
      </c>
      <c r="F779" t="s">
        <v>13</v>
      </c>
      <c r="G779" s="20">
        <v>1</v>
      </c>
      <c r="H779" t="s">
        <v>87</v>
      </c>
      <c r="I779" t="s">
        <v>32</v>
      </c>
      <c r="J779" s="9"/>
      <c r="K779" s="9"/>
      <c r="L779" s="9"/>
    </row>
    <row r="780" spans="2:12" ht="15" x14ac:dyDescent="0.25">
      <c r="B780" t="s">
        <v>347</v>
      </c>
      <c r="C780" t="s">
        <v>348</v>
      </c>
      <c r="D780" t="str">
        <f>HYPERLINK("https://rhld.insurance.arkansas.gov/NPILookup?Npi=1932476132","1932476132")</f>
        <v>1932476132</v>
      </c>
      <c r="E780" t="s">
        <v>906</v>
      </c>
      <c r="F780" t="s">
        <v>12</v>
      </c>
      <c r="G780" s="20">
        <v>1</v>
      </c>
      <c r="H780" t="s">
        <v>4338</v>
      </c>
      <c r="I780" t="s">
        <v>32</v>
      </c>
      <c r="J780" s="9"/>
      <c r="K780" s="9"/>
      <c r="L780" s="9"/>
    </row>
    <row r="781" spans="2:12" ht="15" x14ac:dyDescent="0.25">
      <c r="B781" t="s">
        <v>347</v>
      </c>
      <c r="C781" t="s">
        <v>348</v>
      </c>
      <c r="D781" t="str">
        <f>HYPERLINK("https://rhld.insurance.arkansas.gov/NPILookup?Npi=1932561636","1932561636")</f>
        <v>1932561636</v>
      </c>
      <c r="E781" t="s">
        <v>907</v>
      </c>
      <c r="F781" t="s">
        <v>12</v>
      </c>
      <c r="G781" s="20">
        <v>1</v>
      </c>
      <c r="H781" t="s">
        <v>4338</v>
      </c>
      <c r="I781" t="s">
        <v>32</v>
      </c>
      <c r="J781" s="9"/>
      <c r="K781" s="9"/>
      <c r="L781" s="9"/>
    </row>
    <row r="782" spans="2:12" ht="15" x14ac:dyDescent="0.25">
      <c r="B782" t="s">
        <v>347</v>
      </c>
      <c r="C782" t="s">
        <v>348</v>
      </c>
      <c r="D782" t="str">
        <f>HYPERLINK("https://rhld.insurance.arkansas.gov/NPILookup?Npi=1932631439","1932631439")</f>
        <v>1932631439</v>
      </c>
      <c r="E782" t="s">
        <v>908</v>
      </c>
      <c r="F782" t="s">
        <v>12</v>
      </c>
      <c r="G782" s="20">
        <v>1</v>
      </c>
      <c r="H782" t="s">
        <v>139</v>
      </c>
      <c r="I782" t="s">
        <v>32</v>
      </c>
      <c r="J782" s="9"/>
      <c r="K782" s="9"/>
      <c r="L782" s="9"/>
    </row>
    <row r="783" spans="2:12" ht="15" x14ac:dyDescent="0.25">
      <c r="B783" t="s">
        <v>347</v>
      </c>
      <c r="C783" t="s">
        <v>348</v>
      </c>
      <c r="D783" t="str">
        <f>HYPERLINK("https://rhld.insurance.arkansas.gov/NPILookup?Npi=1932788718","1932788718")</f>
        <v>1932788718</v>
      </c>
      <c r="E783" t="s">
        <v>909</v>
      </c>
      <c r="F783" t="s">
        <v>12</v>
      </c>
      <c r="G783" s="20">
        <v>1</v>
      </c>
      <c r="H783" t="s">
        <v>139</v>
      </c>
      <c r="I783" t="s">
        <v>32</v>
      </c>
      <c r="J783" s="9"/>
      <c r="K783" s="9"/>
      <c r="L783" s="9"/>
    </row>
    <row r="784" spans="2:12" ht="15" x14ac:dyDescent="0.25">
      <c r="B784" t="s">
        <v>347</v>
      </c>
      <c r="C784" t="s">
        <v>348</v>
      </c>
      <c r="D784" t="str">
        <f>HYPERLINK("https://rhld.insurance.arkansas.gov/NPILookup?Npi=1942225131","1942225131")</f>
        <v>1942225131</v>
      </c>
      <c r="E784" t="s">
        <v>910</v>
      </c>
      <c r="F784" t="s">
        <v>12</v>
      </c>
      <c r="G784" s="20">
        <v>1</v>
      </c>
      <c r="H784" t="s">
        <v>4338</v>
      </c>
      <c r="I784" t="s">
        <v>32</v>
      </c>
      <c r="J784" s="9"/>
      <c r="K784" s="9"/>
      <c r="L784" s="9"/>
    </row>
    <row r="785" spans="2:12" ht="15" x14ac:dyDescent="0.25">
      <c r="B785" t="s">
        <v>347</v>
      </c>
      <c r="C785" t="s">
        <v>348</v>
      </c>
      <c r="D785" t="str">
        <f>HYPERLINK("https://rhld.insurance.arkansas.gov/NPILookup?Npi=1942422696","1942422696")</f>
        <v>1942422696</v>
      </c>
      <c r="E785" t="s">
        <v>912</v>
      </c>
      <c r="F785" t="s">
        <v>12</v>
      </c>
      <c r="G785" s="20">
        <v>1</v>
      </c>
      <c r="H785" t="s">
        <v>4338</v>
      </c>
      <c r="I785" t="s">
        <v>32</v>
      </c>
      <c r="J785" s="9"/>
      <c r="K785" s="9"/>
      <c r="L785" s="9"/>
    </row>
    <row r="786" spans="2:12" ht="15" x14ac:dyDescent="0.25">
      <c r="B786" t="s">
        <v>347</v>
      </c>
      <c r="C786" t="s">
        <v>348</v>
      </c>
      <c r="D786" t="str">
        <f>HYPERLINK("https://rhld.insurance.arkansas.gov/NPILookup?Npi=1942452883","1942452883")</f>
        <v>1942452883</v>
      </c>
      <c r="E786" t="s">
        <v>913</v>
      </c>
      <c r="F786" t="s">
        <v>12</v>
      </c>
      <c r="G786" s="20">
        <v>1</v>
      </c>
      <c r="H786" t="s">
        <v>4338</v>
      </c>
      <c r="I786" t="s">
        <v>32</v>
      </c>
      <c r="J786" s="9"/>
      <c r="K786" s="9"/>
      <c r="L786" s="9"/>
    </row>
    <row r="787" spans="2:12" ht="15" x14ac:dyDescent="0.25">
      <c r="B787" t="s">
        <v>347</v>
      </c>
      <c r="C787" t="s">
        <v>348</v>
      </c>
      <c r="D787" t="str">
        <f>HYPERLINK("https://rhld.insurance.arkansas.gov/NPILookup?Npi=1942757158","1942757158")</f>
        <v>1942757158</v>
      </c>
      <c r="E787" t="s">
        <v>914</v>
      </c>
      <c r="F787" t="s">
        <v>12</v>
      </c>
      <c r="G787" s="20">
        <v>1</v>
      </c>
      <c r="H787" t="s">
        <v>4338</v>
      </c>
      <c r="I787" t="s">
        <v>32</v>
      </c>
      <c r="J787" s="9"/>
      <c r="K787" s="9"/>
      <c r="L787" s="9"/>
    </row>
    <row r="788" spans="2:12" ht="15" x14ac:dyDescent="0.25">
      <c r="B788" t="s">
        <v>347</v>
      </c>
      <c r="C788" t="s">
        <v>348</v>
      </c>
      <c r="D788" t="str">
        <f>HYPERLINK("https://rhld.insurance.arkansas.gov/NPILookup?Npi=1952352213","1952352213")</f>
        <v>1952352213</v>
      </c>
      <c r="E788" t="s">
        <v>915</v>
      </c>
      <c r="F788" t="s">
        <v>12</v>
      </c>
      <c r="G788" s="20">
        <v>1</v>
      </c>
      <c r="H788" t="s">
        <v>4338</v>
      </c>
      <c r="I788" t="s">
        <v>32</v>
      </c>
      <c r="J788" s="9"/>
      <c r="K788" s="9"/>
      <c r="L788" s="9"/>
    </row>
    <row r="789" spans="2:12" ht="15" x14ac:dyDescent="0.25">
      <c r="B789" t="s">
        <v>347</v>
      </c>
      <c r="C789" t="s">
        <v>348</v>
      </c>
      <c r="D789" t="str">
        <f>HYPERLINK("https://rhld.insurance.arkansas.gov/NPILookup?Npi=1952352510","1952352510")</f>
        <v>1952352510</v>
      </c>
      <c r="E789" t="s">
        <v>916</v>
      </c>
      <c r="F789" t="s">
        <v>12</v>
      </c>
      <c r="G789" s="20">
        <v>1</v>
      </c>
      <c r="H789" t="s">
        <v>4338</v>
      </c>
      <c r="I789" t="s">
        <v>32</v>
      </c>
      <c r="J789" s="9"/>
      <c r="K789" s="9"/>
      <c r="L789" s="9"/>
    </row>
    <row r="790" spans="2:12" ht="15" x14ac:dyDescent="0.25">
      <c r="B790" t="s">
        <v>347</v>
      </c>
      <c r="C790" t="s">
        <v>348</v>
      </c>
      <c r="D790" t="str">
        <f>HYPERLINK("https://rhld.insurance.arkansas.gov/NPILookup?Npi=1952380651","1952380651")</f>
        <v>1952380651</v>
      </c>
      <c r="E790" t="s">
        <v>917</v>
      </c>
      <c r="F790" t="s">
        <v>12</v>
      </c>
      <c r="G790" s="20">
        <v>1</v>
      </c>
      <c r="H790" t="s">
        <v>4338</v>
      </c>
      <c r="I790" t="s">
        <v>32</v>
      </c>
      <c r="J790" s="9"/>
      <c r="K790" s="9"/>
      <c r="L790" s="9"/>
    </row>
    <row r="791" spans="2:12" ht="15" x14ac:dyDescent="0.25">
      <c r="B791" t="s">
        <v>347</v>
      </c>
      <c r="C791" t="s">
        <v>348</v>
      </c>
      <c r="D791" t="str">
        <f>HYPERLINK("https://rhld.insurance.arkansas.gov/NPILookup?Npi=1972530921","1972530921")</f>
        <v>1972530921</v>
      </c>
      <c r="E791" t="s">
        <v>924</v>
      </c>
      <c r="F791" t="s">
        <v>13</v>
      </c>
      <c r="G791" s="20">
        <v>1</v>
      </c>
      <c r="H791" t="s">
        <v>87</v>
      </c>
      <c r="I791" t="s">
        <v>32</v>
      </c>
      <c r="J791" s="9"/>
      <c r="K791" s="9"/>
      <c r="L791" s="9"/>
    </row>
    <row r="792" spans="2:12" ht="15" x14ac:dyDescent="0.25">
      <c r="B792" t="s">
        <v>347</v>
      </c>
      <c r="C792" t="s">
        <v>348</v>
      </c>
      <c r="D792" t="str">
        <f>HYPERLINK("https://rhld.insurance.arkansas.gov/NPILookup?Npi=1962407940","1962407940")</f>
        <v>1962407940</v>
      </c>
      <c r="E792" t="s">
        <v>919</v>
      </c>
      <c r="F792" t="s">
        <v>12</v>
      </c>
      <c r="G792" s="20">
        <v>1</v>
      </c>
      <c r="H792" t="s">
        <v>4338</v>
      </c>
      <c r="I792" t="s">
        <v>32</v>
      </c>
      <c r="J792" s="9"/>
      <c r="K792" s="9"/>
      <c r="L792" s="9"/>
    </row>
    <row r="793" spans="2:12" ht="15" x14ac:dyDescent="0.25">
      <c r="B793" t="s">
        <v>347</v>
      </c>
      <c r="C793" t="s">
        <v>348</v>
      </c>
      <c r="D793" t="str">
        <f>HYPERLINK("https://rhld.insurance.arkansas.gov/NPILookup?Npi=1962455212","1962455212")</f>
        <v>1962455212</v>
      </c>
      <c r="E793" t="s">
        <v>920</v>
      </c>
      <c r="F793" t="s">
        <v>12</v>
      </c>
      <c r="G793" s="20">
        <v>1</v>
      </c>
      <c r="H793" t="s">
        <v>4338</v>
      </c>
      <c r="I793" t="s">
        <v>32</v>
      </c>
      <c r="J793" s="9"/>
      <c r="K793" s="9"/>
      <c r="L793" s="9"/>
    </row>
    <row r="794" spans="2:12" ht="15" x14ac:dyDescent="0.25">
      <c r="B794" t="s">
        <v>347</v>
      </c>
      <c r="C794" t="s">
        <v>348</v>
      </c>
      <c r="D794" t="str">
        <f>HYPERLINK("https://rhld.insurance.arkansas.gov/NPILookup?Npi=1962460519","1962460519")</f>
        <v>1962460519</v>
      </c>
      <c r="E794" t="s">
        <v>921</v>
      </c>
      <c r="F794" t="s">
        <v>12</v>
      </c>
      <c r="G794" s="20">
        <v>1</v>
      </c>
      <c r="H794" t="s">
        <v>4338</v>
      </c>
      <c r="I794" t="s">
        <v>32</v>
      </c>
      <c r="J794" s="9"/>
      <c r="K794" s="9"/>
      <c r="L794" s="9"/>
    </row>
    <row r="795" spans="2:12" ht="15" x14ac:dyDescent="0.25">
      <c r="B795" t="s">
        <v>347</v>
      </c>
      <c r="C795" t="s">
        <v>348</v>
      </c>
      <c r="D795" t="str">
        <f>HYPERLINK("https://rhld.insurance.arkansas.gov/NPILookup?Npi=1972094225","1972094225")</f>
        <v>1972094225</v>
      </c>
      <c r="E795" t="s">
        <v>922</v>
      </c>
      <c r="F795" t="s">
        <v>12</v>
      </c>
      <c r="G795" s="20">
        <v>1</v>
      </c>
      <c r="H795" t="s">
        <v>4338</v>
      </c>
      <c r="I795" t="s">
        <v>32</v>
      </c>
      <c r="J795" s="9"/>
      <c r="K795" s="9"/>
      <c r="L795" s="9"/>
    </row>
    <row r="796" spans="2:12" ht="15" x14ac:dyDescent="0.25">
      <c r="B796" t="s">
        <v>347</v>
      </c>
      <c r="C796" t="s">
        <v>348</v>
      </c>
      <c r="D796" t="str">
        <f>HYPERLINK("https://rhld.insurance.arkansas.gov/NPILookup?Npi=1972180438","1972180438")</f>
        <v>1972180438</v>
      </c>
      <c r="E796" t="s">
        <v>923</v>
      </c>
      <c r="F796" t="s">
        <v>12</v>
      </c>
      <c r="G796" s="20">
        <v>1</v>
      </c>
      <c r="H796" t="s">
        <v>139</v>
      </c>
      <c r="I796" t="s">
        <v>32</v>
      </c>
      <c r="J796" s="9"/>
      <c r="K796" s="9"/>
      <c r="L796" s="9"/>
    </row>
    <row r="797" spans="2:12" ht="15" x14ac:dyDescent="0.25">
      <c r="B797" t="s">
        <v>347</v>
      </c>
      <c r="C797" t="s">
        <v>348</v>
      </c>
      <c r="D797" t="str">
        <f>HYPERLINK("https://rhld.insurance.arkansas.gov/NPILookup?Npi=1982684122","1982684122")</f>
        <v>1982684122</v>
      </c>
      <c r="E797" t="s">
        <v>931</v>
      </c>
      <c r="F797" t="s">
        <v>13</v>
      </c>
      <c r="G797" s="20">
        <v>2</v>
      </c>
      <c r="H797" t="s">
        <v>439</v>
      </c>
      <c r="I797" t="s">
        <v>4357</v>
      </c>
      <c r="J797" s="9"/>
      <c r="K797" s="9"/>
      <c r="L797" s="9"/>
    </row>
    <row r="798" spans="2:12" ht="15" x14ac:dyDescent="0.25">
      <c r="B798" t="s">
        <v>347</v>
      </c>
      <c r="C798" t="s">
        <v>348</v>
      </c>
      <c r="D798" t="str">
        <f>HYPERLINK("https://rhld.insurance.arkansas.gov/NPILookup?Npi=1972563773","1972563773")</f>
        <v>1972563773</v>
      </c>
      <c r="E798" t="s">
        <v>925</v>
      </c>
      <c r="F798" t="s">
        <v>12</v>
      </c>
      <c r="G798" s="20">
        <v>1</v>
      </c>
      <c r="H798" t="s">
        <v>4338</v>
      </c>
      <c r="I798" t="s">
        <v>32</v>
      </c>
      <c r="J798" s="9"/>
      <c r="K798" s="9"/>
      <c r="L798" s="9"/>
    </row>
    <row r="799" spans="2:12" ht="15" x14ac:dyDescent="0.25">
      <c r="B799" t="s">
        <v>347</v>
      </c>
      <c r="C799" t="s">
        <v>348</v>
      </c>
      <c r="D799" t="str">
        <f>HYPERLINK("https://rhld.insurance.arkansas.gov/NPILookup?Npi=1972588457","1972588457")</f>
        <v>1972588457</v>
      </c>
      <c r="E799" t="s">
        <v>926</v>
      </c>
      <c r="F799" t="s">
        <v>12</v>
      </c>
      <c r="G799" s="20">
        <v>1</v>
      </c>
      <c r="H799" t="s">
        <v>4338</v>
      </c>
      <c r="I799" t="s">
        <v>4357</v>
      </c>
      <c r="J799" s="9"/>
      <c r="K799" s="9"/>
      <c r="L799" s="9"/>
    </row>
    <row r="800" spans="2:12" ht="15" x14ac:dyDescent="0.25">
      <c r="B800" t="s">
        <v>347</v>
      </c>
      <c r="C800" t="s">
        <v>348</v>
      </c>
      <c r="D800" t="str">
        <f>HYPERLINK("https://rhld.insurance.arkansas.gov/NPILookup?Npi=1972659241","1972659241")</f>
        <v>1972659241</v>
      </c>
      <c r="E800" t="s">
        <v>927</v>
      </c>
      <c r="F800" t="s">
        <v>12</v>
      </c>
      <c r="G800" s="20">
        <v>1</v>
      </c>
      <c r="H800" t="s">
        <v>4338</v>
      </c>
      <c r="I800" t="s">
        <v>32</v>
      </c>
      <c r="J800" s="9"/>
      <c r="K800" s="9"/>
      <c r="L800" s="9"/>
    </row>
    <row r="801" spans="2:12" ht="15" x14ac:dyDescent="0.25">
      <c r="B801" t="s">
        <v>347</v>
      </c>
      <c r="C801" t="s">
        <v>348</v>
      </c>
      <c r="D801" t="str">
        <f>HYPERLINK("https://rhld.insurance.arkansas.gov/NPILookup?Npi=1972987824","1972987824")</f>
        <v>1972987824</v>
      </c>
      <c r="E801" t="s">
        <v>928</v>
      </c>
      <c r="F801" t="s">
        <v>12</v>
      </c>
      <c r="G801" s="20">
        <v>1</v>
      </c>
      <c r="H801" t="s">
        <v>4338</v>
      </c>
      <c r="I801" t="s">
        <v>32</v>
      </c>
      <c r="J801" s="9"/>
      <c r="K801" s="9"/>
      <c r="L801" s="9"/>
    </row>
    <row r="802" spans="2:12" ht="15" x14ac:dyDescent="0.25">
      <c r="B802" t="s">
        <v>347</v>
      </c>
      <c r="C802" t="s">
        <v>348</v>
      </c>
      <c r="D802" t="str">
        <f>HYPERLINK("https://rhld.insurance.arkansas.gov/NPILookup?Npi=1982650925","1982650925")</f>
        <v>1982650925</v>
      </c>
      <c r="E802" t="s">
        <v>929</v>
      </c>
      <c r="F802" t="s">
        <v>12</v>
      </c>
      <c r="G802" s="20">
        <v>1</v>
      </c>
      <c r="H802" t="s">
        <v>4338</v>
      </c>
      <c r="I802" t="s">
        <v>32</v>
      </c>
      <c r="J802" s="9"/>
      <c r="K802" s="9"/>
      <c r="L802" s="9"/>
    </row>
    <row r="803" spans="2:12" ht="15" x14ac:dyDescent="0.25">
      <c r="B803" t="s">
        <v>347</v>
      </c>
      <c r="C803" t="s">
        <v>348</v>
      </c>
      <c r="D803" t="str">
        <f>HYPERLINK("https://rhld.insurance.arkansas.gov/NPILookup?Npi=1982661757","1982661757")</f>
        <v>1982661757</v>
      </c>
      <c r="E803" t="s">
        <v>930</v>
      </c>
      <c r="F803" t="s">
        <v>12</v>
      </c>
      <c r="G803" s="20">
        <v>1</v>
      </c>
      <c r="H803" t="s">
        <v>139</v>
      </c>
      <c r="I803" t="s">
        <v>32</v>
      </c>
      <c r="J803" s="9"/>
      <c r="K803" s="9"/>
      <c r="L803" s="9"/>
    </row>
    <row r="804" spans="2:12" ht="15" x14ac:dyDescent="0.25">
      <c r="B804" t="s">
        <v>347</v>
      </c>
      <c r="C804" t="s">
        <v>348</v>
      </c>
      <c r="D804" t="str">
        <f>HYPERLINK("https://rhld.insurance.arkansas.gov/NPILookup?Npi=1982866935","1982866935")</f>
        <v>1982866935</v>
      </c>
      <c r="E804" t="s">
        <v>932</v>
      </c>
      <c r="F804" t="s">
        <v>13</v>
      </c>
      <c r="G804" s="20">
        <v>1</v>
      </c>
      <c r="H804" t="s">
        <v>87</v>
      </c>
      <c r="I804" t="s">
        <v>32</v>
      </c>
      <c r="J804" s="9"/>
      <c r="K804" s="9"/>
      <c r="L804" s="9"/>
    </row>
    <row r="805" spans="2:12" ht="15" x14ac:dyDescent="0.25">
      <c r="B805" t="s">
        <v>952</v>
      </c>
      <c r="C805" t="s">
        <v>953</v>
      </c>
      <c r="D805" t="str">
        <f>HYPERLINK("https://rhld.insurance.arkansas.gov/NPILookup?Npi=1043848906","1043848906")</f>
        <v>1043848906</v>
      </c>
      <c r="E805" t="s">
        <v>956</v>
      </c>
      <c r="F805" t="s">
        <v>13</v>
      </c>
      <c r="G805" s="20">
        <v>1</v>
      </c>
      <c r="H805" t="s">
        <v>4357</v>
      </c>
      <c r="I805" t="s">
        <v>4357</v>
      </c>
      <c r="J805" s="9"/>
      <c r="K805" s="9"/>
      <c r="L805" s="9"/>
    </row>
    <row r="806" spans="2:12" ht="15" x14ac:dyDescent="0.25">
      <c r="B806" t="s">
        <v>347</v>
      </c>
      <c r="C806" t="s">
        <v>348</v>
      </c>
      <c r="D806" t="str">
        <f>HYPERLINK("https://rhld.insurance.arkansas.gov/NPILookup?Npi=1982871976","1982871976")</f>
        <v>1982871976</v>
      </c>
      <c r="E806" t="s">
        <v>933</v>
      </c>
      <c r="F806" t="s">
        <v>12</v>
      </c>
      <c r="G806" s="20">
        <v>1</v>
      </c>
      <c r="H806" t="s">
        <v>4338</v>
      </c>
      <c r="I806" t="s">
        <v>32</v>
      </c>
      <c r="J806" s="9"/>
      <c r="K806" s="9"/>
      <c r="L806" s="9"/>
    </row>
    <row r="807" spans="2:12" ht="15" x14ac:dyDescent="0.25">
      <c r="B807" t="s">
        <v>347</v>
      </c>
      <c r="C807" t="s">
        <v>348</v>
      </c>
      <c r="D807" t="str">
        <f>HYPERLINK("https://rhld.insurance.arkansas.gov/NPILookup?Npi=1982940516","1982940516")</f>
        <v>1982940516</v>
      </c>
      <c r="E807" t="s">
        <v>934</v>
      </c>
      <c r="F807" t="s">
        <v>12</v>
      </c>
      <c r="G807" s="20">
        <v>1</v>
      </c>
      <c r="H807" t="s">
        <v>4338</v>
      </c>
      <c r="I807" t="s">
        <v>32</v>
      </c>
      <c r="J807" s="9"/>
      <c r="K807" s="9"/>
      <c r="L807" s="9"/>
    </row>
    <row r="808" spans="2:12" ht="15" x14ac:dyDescent="0.25">
      <c r="B808" t="s">
        <v>347</v>
      </c>
      <c r="C808" t="s">
        <v>348</v>
      </c>
      <c r="D808" t="str">
        <f>HYPERLINK("https://rhld.insurance.arkansas.gov/NPILookup?Npi=1992016638","1992016638")</f>
        <v>1992016638</v>
      </c>
      <c r="E808" t="s">
        <v>935</v>
      </c>
      <c r="F808" t="s">
        <v>12</v>
      </c>
      <c r="G808" s="20">
        <v>1</v>
      </c>
      <c r="H808" t="s">
        <v>4338</v>
      </c>
      <c r="I808" t="s">
        <v>32</v>
      </c>
      <c r="J808" s="9"/>
      <c r="K808" s="23"/>
      <c r="L808" s="9"/>
    </row>
    <row r="809" spans="2:12" ht="15" x14ac:dyDescent="0.25">
      <c r="B809" t="s">
        <v>347</v>
      </c>
      <c r="C809" t="s">
        <v>348</v>
      </c>
      <c r="D809" t="str">
        <f>HYPERLINK("https://rhld.insurance.arkansas.gov/NPILookup?Npi=1992116396","1992116396")</f>
        <v>1992116396</v>
      </c>
      <c r="E809" t="s">
        <v>936</v>
      </c>
      <c r="F809" t="s">
        <v>12</v>
      </c>
      <c r="G809" s="20">
        <v>1</v>
      </c>
      <c r="H809" t="s">
        <v>4338</v>
      </c>
      <c r="I809" t="s">
        <v>32</v>
      </c>
      <c r="J809" s="9"/>
      <c r="K809" s="9"/>
      <c r="L809" s="9"/>
    </row>
    <row r="810" spans="2:12" ht="15" x14ac:dyDescent="0.25">
      <c r="B810" t="s">
        <v>347</v>
      </c>
      <c r="C810" t="s">
        <v>348</v>
      </c>
      <c r="D810" t="str">
        <f>HYPERLINK("https://rhld.insurance.arkansas.gov/NPILookup?Npi=1992733422","1992733422")</f>
        <v>1992733422</v>
      </c>
      <c r="E810" t="s">
        <v>937</v>
      </c>
      <c r="F810" t="s">
        <v>12</v>
      </c>
      <c r="G810" s="20">
        <v>1</v>
      </c>
      <c r="H810" t="s">
        <v>4338</v>
      </c>
      <c r="I810" t="s">
        <v>32</v>
      </c>
      <c r="J810" s="9"/>
      <c r="K810" s="9"/>
      <c r="L810" s="9"/>
    </row>
    <row r="811" spans="2:12" ht="15" x14ac:dyDescent="0.25">
      <c r="B811" t="s">
        <v>347</v>
      </c>
      <c r="C811" t="s">
        <v>348</v>
      </c>
      <c r="D811" t="str">
        <f>HYPERLINK("https://rhld.insurance.arkansas.gov/NPILookup?Npi=1992933584","1992933584")</f>
        <v>1992933584</v>
      </c>
      <c r="E811" t="s">
        <v>938</v>
      </c>
      <c r="F811" t="s">
        <v>12</v>
      </c>
      <c r="G811" s="20">
        <v>1</v>
      </c>
      <c r="H811" t="s">
        <v>4338</v>
      </c>
      <c r="I811" t="s">
        <v>32</v>
      </c>
      <c r="J811" s="9"/>
      <c r="K811" s="9"/>
      <c r="L811" s="9"/>
    </row>
    <row r="812" spans="2:12" ht="15" x14ac:dyDescent="0.25">
      <c r="B812" t="s">
        <v>939</v>
      </c>
      <c r="C812" s="21" t="s">
        <v>940</v>
      </c>
      <c r="D812" s="21" t="str">
        <f>HYPERLINK("https://rhld.insurance.arkansas.gov/NPILookup?Npi=1043740368","1043740368")</f>
        <v>1043740368</v>
      </c>
      <c r="E812" s="21" t="s">
        <v>941</v>
      </c>
      <c r="F812" s="21" t="s">
        <v>12</v>
      </c>
      <c r="G812" s="22">
        <v>1</v>
      </c>
      <c r="H812" s="21" t="s">
        <v>4338</v>
      </c>
      <c r="I812" s="21" t="s">
        <v>32</v>
      </c>
      <c r="J812" s="9"/>
      <c r="K812" s="9"/>
      <c r="L812" s="9"/>
    </row>
    <row r="813" spans="2:12" ht="15" x14ac:dyDescent="0.25">
      <c r="B813" t="s">
        <v>939</v>
      </c>
      <c r="C813" t="s">
        <v>940</v>
      </c>
      <c r="D813" t="str">
        <f>HYPERLINK("https://rhld.insurance.arkansas.gov/NPILookup?Npi=1346201639","1346201639")</f>
        <v>1346201639</v>
      </c>
      <c r="E813" t="s">
        <v>942</v>
      </c>
      <c r="F813" t="s">
        <v>13</v>
      </c>
      <c r="G813" s="20">
        <v>1</v>
      </c>
      <c r="H813" t="s">
        <v>87</v>
      </c>
      <c r="I813" t="s">
        <v>4357</v>
      </c>
      <c r="J813" s="9"/>
      <c r="K813" s="23"/>
      <c r="L813" s="9"/>
    </row>
    <row r="814" spans="2:12" ht="15" x14ac:dyDescent="0.25">
      <c r="B814" t="s">
        <v>939</v>
      </c>
      <c r="C814" t="s">
        <v>940</v>
      </c>
      <c r="D814" t="str">
        <f>HYPERLINK("https://rhld.insurance.arkansas.gov/NPILookup?Npi=1346400751","1346400751")</f>
        <v>1346400751</v>
      </c>
      <c r="E814" t="s">
        <v>943</v>
      </c>
      <c r="F814" t="s">
        <v>13</v>
      </c>
      <c r="G814" s="20">
        <v>1</v>
      </c>
      <c r="H814" t="s">
        <v>4357</v>
      </c>
      <c r="I814" t="s">
        <v>4357</v>
      </c>
      <c r="J814" s="9"/>
      <c r="K814" s="23"/>
      <c r="L814" s="9"/>
    </row>
    <row r="815" spans="2:12" ht="15" x14ac:dyDescent="0.25">
      <c r="B815" t="s">
        <v>939</v>
      </c>
      <c r="C815" t="s">
        <v>940</v>
      </c>
      <c r="D815" t="str">
        <f>HYPERLINK("https://rhld.insurance.arkansas.gov/NPILookup?Npi=1346703279","1346703279")</f>
        <v>1346703279</v>
      </c>
      <c r="E815" t="s">
        <v>944</v>
      </c>
      <c r="F815" t="s">
        <v>13</v>
      </c>
      <c r="G815" s="20">
        <v>2</v>
      </c>
      <c r="H815" t="s">
        <v>439</v>
      </c>
      <c r="I815" t="s">
        <v>4357</v>
      </c>
      <c r="J815" s="9"/>
      <c r="K815" s="23"/>
      <c r="L815" s="9"/>
    </row>
    <row r="816" spans="2:12" ht="15" x14ac:dyDescent="0.25">
      <c r="B816" t="s">
        <v>939</v>
      </c>
      <c r="C816" s="21" t="s">
        <v>940</v>
      </c>
      <c r="D816" s="21" t="str">
        <f>HYPERLINK("https://rhld.insurance.arkansas.gov/NPILookup?Npi=1356312904","1356312904")</f>
        <v>1356312904</v>
      </c>
      <c r="E816" s="21" t="s">
        <v>945</v>
      </c>
      <c r="F816" s="21" t="s">
        <v>12</v>
      </c>
      <c r="G816" s="22">
        <v>1</v>
      </c>
      <c r="H816" s="21" t="s">
        <v>4338</v>
      </c>
      <c r="I816" s="21" t="s">
        <v>32</v>
      </c>
      <c r="J816" s="9"/>
      <c r="K816" s="23"/>
      <c r="L816" s="9"/>
    </row>
    <row r="817" spans="2:12" ht="15" x14ac:dyDescent="0.25">
      <c r="B817" t="s">
        <v>939</v>
      </c>
      <c r="C817" s="21" t="s">
        <v>940</v>
      </c>
      <c r="D817" s="21" t="str">
        <f>HYPERLINK("https://rhld.insurance.arkansas.gov/NPILookup?Npi=1376552315","1376552315")</f>
        <v>1376552315</v>
      </c>
      <c r="E817" s="21" t="s">
        <v>946</v>
      </c>
      <c r="F817" s="21" t="s">
        <v>12</v>
      </c>
      <c r="G817" s="22">
        <v>1</v>
      </c>
      <c r="H817" s="21" t="s">
        <v>4338</v>
      </c>
      <c r="I817" s="21" t="s">
        <v>32</v>
      </c>
      <c r="J817" s="9"/>
      <c r="K817" s="23"/>
      <c r="L817" s="9"/>
    </row>
    <row r="818" spans="2:12" ht="15" x14ac:dyDescent="0.25">
      <c r="B818" t="s">
        <v>939</v>
      </c>
      <c r="C818" s="21" t="s">
        <v>940</v>
      </c>
      <c r="D818" s="21" t="str">
        <f>HYPERLINK("https://rhld.insurance.arkansas.gov/NPILookup?Npi=1659573558","1659573558")</f>
        <v>1659573558</v>
      </c>
      <c r="E818" s="21" t="s">
        <v>948</v>
      </c>
      <c r="F818" s="21" t="s">
        <v>12</v>
      </c>
      <c r="G818" s="22">
        <v>1</v>
      </c>
      <c r="H818" s="21" t="s">
        <v>139</v>
      </c>
      <c r="I818" s="21" t="s">
        <v>4357</v>
      </c>
      <c r="J818" s="9"/>
      <c r="K818" s="23"/>
      <c r="L818" s="9"/>
    </row>
    <row r="819" spans="2:12" ht="15" x14ac:dyDescent="0.25">
      <c r="B819" t="s">
        <v>939</v>
      </c>
      <c r="C819" s="21" t="s">
        <v>940</v>
      </c>
      <c r="D819" s="21" t="str">
        <f>HYPERLINK("https://rhld.insurance.arkansas.gov/NPILookup?Npi=1710082987","1710082987")</f>
        <v>1710082987</v>
      </c>
      <c r="E819" s="21" t="s">
        <v>949</v>
      </c>
      <c r="F819" s="21" t="s">
        <v>12</v>
      </c>
      <c r="G819" s="22">
        <v>1</v>
      </c>
      <c r="H819" s="21" t="s">
        <v>139</v>
      </c>
      <c r="I819" s="21" t="s">
        <v>4357</v>
      </c>
      <c r="J819" s="9"/>
      <c r="K819" s="23"/>
      <c r="L819" s="9"/>
    </row>
    <row r="820" spans="2:12" ht="15" x14ac:dyDescent="0.25">
      <c r="B820" t="s">
        <v>939</v>
      </c>
      <c r="C820" s="21" t="s">
        <v>940</v>
      </c>
      <c r="D820" s="21" t="str">
        <f>HYPERLINK("https://rhld.insurance.arkansas.gov/NPILookup?Npi=1790880896","1790880896")</f>
        <v>1790880896</v>
      </c>
      <c r="E820" s="21" t="s">
        <v>950</v>
      </c>
      <c r="F820" s="21" t="s">
        <v>12</v>
      </c>
      <c r="G820" s="22">
        <v>1</v>
      </c>
      <c r="H820" s="21" t="s">
        <v>139</v>
      </c>
      <c r="I820" s="21" t="s">
        <v>4357</v>
      </c>
      <c r="J820" s="9"/>
      <c r="K820" s="9"/>
      <c r="L820" s="9"/>
    </row>
    <row r="821" spans="2:12" ht="15" x14ac:dyDescent="0.25">
      <c r="B821" t="s">
        <v>939</v>
      </c>
      <c r="C821" s="21" t="s">
        <v>940</v>
      </c>
      <c r="D821" s="21" t="str">
        <f>HYPERLINK("https://rhld.insurance.arkansas.gov/NPILookup?Npi=1821055278","1821055278")</f>
        <v>1821055278</v>
      </c>
      <c r="E821" s="21" t="s">
        <v>951</v>
      </c>
      <c r="F821" s="21" t="s">
        <v>12</v>
      </c>
      <c r="G821" s="22">
        <v>1</v>
      </c>
      <c r="H821" s="21" t="s">
        <v>4338</v>
      </c>
      <c r="I821" s="21" t="s">
        <v>32</v>
      </c>
      <c r="J821" s="9"/>
      <c r="K821" s="9"/>
      <c r="L821" s="9"/>
    </row>
    <row r="822" spans="2:12" ht="15" x14ac:dyDescent="0.25">
      <c r="B822" t="s">
        <v>952</v>
      </c>
      <c r="C822" s="21" t="s">
        <v>953</v>
      </c>
      <c r="D822" s="21" t="str">
        <f>HYPERLINK("https://rhld.insurance.arkansas.gov/NPILookup?Npi=1013924752","1013924752")</f>
        <v>1013924752</v>
      </c>
      <c r="E822" s="21" t="s">
        <v>954</v>
      </c>
      <c r="F822" s="21" t="s">
        <v>12</v>
      </c>
      <c r="G822" s="22">
        <v>1</v>
      </c>
      <c r="H822" s="21" t="s">
        <v>4338</v>
      </c>
      <c r="I822" s="21" t="s">
        <v>32</v>
      </c>
      <c r="J822" s="9"/>
      <c r="K822" s="23"/>
      <c r="L822" s="9"/>
    </row>
    <row r="823" spans="2:12" ht="15" x14ac:dyDescent="0.25">
      <c r="B823" t="s">
        <v>952</v>
      </c>
      <c r="C823" s="21" t="s">
        <v>953</v>
      </c>
      <c r="D823" s="21" t="str">
        <f>HYPERLINK("https://rhld.insurance.arkansas.gov/NPILookup?Npi=1023075637","1023075637")</f>
        <v>1023075637</v>
      </c>
      <c r="E823" s="21" t="s">
        <v>955</v>
      </c>
      <c r="F823" s="21" t="s">
        <v>12</v>
      </c>
      <c r="G823" s="22">
        <v>1</v>
      </c>
      <c r="H823" s="21" t="s">
        <v>4338</v>
      </c>
      <c r="I823" s="21" t="s">
        <v>4357</v>
      </c>
      <c r="J823" s="9"/>
      <c r="K823" s="9"/>
      <c r="L823" s="9"/>
    </row>
    <row r="824" spans="2:12" ht="15" x14ac:dyDescent="0.25">
      <c r="B824" t="s">
        <v>952</v>
      </c>
      <c r="C824" t="s">
        <v>953</v>
      </c>
      <c r="D824" t="str">
        <f>HYPERLINK("https://rhld.insurance.arkansas.gov/NPILookup?Npi=1073967949","1073967949")</f>
        <v>1073967949</v>
      </c>
      <c r="E824" t="s">
        <v>957</v>
      </c>
      <c r="F824" t="s">
        <v>13</v>
      </c>
      <c r="G824" s="20">
        <v>1</v>
      </c>
      <c r="H824" t="s">
        <v>4357</v>
      </c>
      <c r="I824" t="s">
        <v>4357</v>
      </c>
      <c r="J824" s="9"/>
      <c r="K824" s="23"/>
      <c r="L824" s="9"/>
    </row>
    <row r="825" spans="2:12" ht="15" x14ac:dyDescent="0.25">
      <c r="B825" t="s">
        <v>952</v>
      </c>
      <c r="C825" t="s">
        <v>953</v>
      </c>
      <c r="D825" t="str">
        <f>HYPERLINK("https://rhld.insurance.arkansas.gov/NPILookup?Npi=1225856966","1225856966")</f>
        <v>1225856966</v>
      </c>
      <c r="E825" t="s">
        <v>959</v>
      </c>
      <c r="F825" t="s">
        <v>13</v>
      </c>
      <c r="G825" s="20">
        <v>1</v>
      </c>
      <c r="H825" t="s">
        <v>4357</v>
      </c>
      <c r="I825" t="s">
        <v>4357</v>
      </c>
      <c r="J825" s="9"/>
      <c r="K825" s="23"/>
      <c r="L825" s="9"/>
    </row>
    <row r="826" spans="2:12" ht="15" x14ac:dyDescent="0.25">
      <c r="B826" t="s">
        <v>952</v>
      </c>
      <c r="C826" s="21" t="s">
        <v>953</v>
      </c>
      <c r="D826" s="21" t="str">
        <f>HYPERLINK("https://rhld.insurance.arkansas.gov/NPILookup?Npi=1144756545","1144756545")</f>
        <v>1144756545</v>
      </c>
      <c r="E826" s="21" t="s">
        <v>958</v>
      </c>
      <c r="F826" s="21" t="s">
        <v>12</v>
      </c>
      <c r="G826" s="22">
        <v>1</v>
      </c>
      <c r="H826" s="21" t="s">
        <v>4338</v>
      </c>
      <c r="I826" s="21" t="s">
        <v>32</v>
      </c>
      <c r="J826" s="9"/>
      <c r="K826" s="23"/>
      <c r="L826" s="9"/>
    </row>
    <row r="827" spans="2:12" ht="15" x14ac:dyDescent="0.25">
      <c r="B827" t="s">
        <v>952</v>
      </c>
      <c r="C827" t="s">
        <v>953</v>
      </c>
      <c r="D827" t="str">
        <f>HYPERLINK("https://rhld.insurance.arkansas.gov/NPILookup?Npi=1457357907","1457357907")</f>
        <v>1457357907</v>
      </c>
      <c r="E827" t="s">
        <v>964</v>
      </c>
      <c r="F827" t="s">
        <v>13</v>
      </c>
      <c r="G827" s="20">
        <v>1</v>
      </c>
      <c r="H827" t="s">
        <v>87</v>
      </c>
      <c r="I827" t="s">
        <v>4357</v>
      </c>
      <c r="J827" s="9"/>
      <c r="K827" s="9"/>
      <c r="L827" s="9"/>
    </row>
    <row r="828" spans="2:12" ht="15" x14ac:dyDescent="0.25">
      <c r="B828" t="s">
        <v>952</v>
      </c>
      <c r="C828" s="21" t="s">
        <v>953</v>
      </c>
      <c r="D828" s="21" t="str">
        <f>HYPERLINK("https://rhld.insurance.arkansas.gov/NPILookup?Npi=1285392084","1285392084")</f>
        <v>1285392084</v>
      </c>
      <c r="E828" s="21" t="s">
        <v>960</v>
      </c>
      <c r="F828" s="21" t="s">
        <v>12</v>
      </c>
      <c r="G828" s="22">
        <v>1</v>
      </c>
      <c r="H828" s="21" t="s">
        <v>139</v>
      </c>
      <c r="I828" s="21" t="s">
        <v>32</v>
      </c>
      <c r="J828" s="9"/>
      <c r="K828" s="9"/>
      <c r="L828" s="9"/>
    </row>
    <row r="829" spans="2:12" ht="15" x14ac:dyDescent="0.25">
      <c r="B829" t="s">
        <v>952</v>
      </c>
      <c r="C829" s="21" t="s">
        <v>953</v>
      </c>
      <c r="D829" s="21" t="str">
        <f>HYPERLINK("https://rhld.insurance.arkansas.gov/NPILookup?Npi=1326003179","1326003179")</f>
        <v>1326003179</v>
      </c>
      <c r="E829" s="21" t="s">
        <v>961</v>
      </c>
      <c r="F829" s="21" t="s">
        <v>12</v>
      </c>
      <c r="G829" s="22">
        <v>1</v>
      </c>
      <c r="H829" s="21" t="s">
        <v>4338</v>
      </c>
      <c r="I829" s="21" t="s">
        <v>4357</v>
      </c>
      <c r="J829" s="9"/>
      <c r="K829" s="23"/>
      <c r="L829" s="9"/>
    </row>
    <row r="830" spans="2:12" ht="15" x14ac:dyDescent="0.25">
      <c r="B830" t="s">
        <v>952</v>
      </c>
      <c r="C830" s="21" t="s">
        <v>953</v>
      </c>
      <c r="D830" s="21" t="str">
        <f>HYPERLINK("https://rhld.insurance.arkansas.gov/NPILookup?Npi=1346459765","1346459765")</f>
        <v>1346459765</v>
      </c>
      <c r="E830" s="21" t="s">
        <v>963</v>
      </c>
      <c r="F830" s="21" t="s">
        <v>12</v>
      </c>
      <c r="G830" s="22">
        <v>1</v>
      </c>
      <c r="H830" s="21" t="s">
        <v>4338</v>
      </c>
      <c r="I830" s="21" t="s">
        <v>32</v>
      </c>
      <c r="J830" s="9"/>
      <c r="K830" s="9"/>
      <c r="L830" s="9"/>
    </row>
    <row r="831" spans="2:12" ht="15" x14ac:dyDescent="0.25">
      <c r="B831" t="s">
        <v>952</v>
      </c>
      <c r="C831" t="s">
        <v>953</v>
      </c>
      <c r="D831" t="str">
        <f>HYPERLINK("https://rhld.insurance.arkansas.gov/NPILookup?Npi=1659875425","1659875425")</f>
        <v>1659875425</v>
      </c>
      <c r="E831" t="s">
        <v>965</v>
      </c>
      <c r="F831" t="s">
        <v>13</v>
      </c>
      <c r="G831" s="20">
        <v>1</v>
      </c>
      <c r="H831" t="s">
        <v>4357</v>
      </c>
      <c r="I831" t="s">
        <v>4357</v>
      </c>
      <c r="J831" s="9"/>
      <c r="K831" s="9"/>
      <c r="L831" s="9"/>
    </row>
    <row r="832" spans="2:12" ht="15" x14ac:dyDescent="0.25">
      <c r="B832" t="s">
        <v>952</v>
      </c>
      <c r="C832" t="s">
        <v>953</v>
      </c>
      <c r="D832" t="str">
        <f>HYPERLINK("https://rhld.insurance.arkansas.gov/NPILookup?Npi=1760011977","1760011977")</f>
        <v>1760011977</v>
      </c>
      <c r="E832" t="s">
        <v>967</v>
      </c>
      <c r="F832" t="s">
        <v>13</v>
      </c>
      <c r="G832" s="20">
        <v>1</v>
      </c>
      <c r="H832" t="s">
        <v>4357</v>
      </c>
      <c r="I832" t="s">
        <v>4357</v>
      </c>
      <c r="J832" s="9"/>
      <c r="K832" s="23"/>
      <c r="L832" s="9"/>
    </row>
    <row r="833" spans="2:12" ht="15" x14ac:dyDescent="0.25">
      <c r="B833" t="s">
        <v>952</v>
      </c>
      <c r="C833" s="21" t="s">
        <v>953</v>
      </c>
      <c r="D833" s="21" t="str">
        <f>HYPERLINK("https://rhld.insurance.arkansas.gov/NPILookup?Npi=1699804138","1699804138")</f>
        <v>1699804138</v>
      </c>
      <c r="E833" s="21" t="s">
        <v>966</v>
      </c>
      <c r="F833" s="21" t="s">
        <v>12</v>
      </c>
      <c r="G833" s="22">
        <v>1</v>
      </c>
      <c r="H833" s="21" t="s">
        <v>4338</v>
      </c>
      <c r="I833" s="21" t="s">
        <v>32</v>
      </c>
      <c r="J833" s="9"/>
      <c r="K833" s="9"/>
      <c r="L833" s="9"/>
    </row>
    <row r="834" spans="2:12" ht="15" x14ac:dyDescent="0.25">
      <c r="B834" t="s">
        <v>952</v>
      </c>
      <c r="C834" t="s">
        <v>953</v>
      </c>
      <c r="D834" t="str">
        <f>HYPERLINK("https://rhld.insurance.arkansas.gov/NPILookup?Npi=1982660015","1982660015")</f>
        <v>1982660015</v>
      </c>
      <c r="E834" t="s">
        <v>968</v>
      </c>
      <c r="F834" t="s">
        <v>13</v>
      </c>
      <c r="G834" s="20">
        <v>1</v>
      </c>
      <c r="H834" t="s">
        <v>87</v>
      </c>
      <c r="I834" t="s">
        <v>4357</v>
      </c>
      <c r="J834" s="9"/>
      <c r="K834" s="23"/>
      <c r="L834" s="9"/>
    </row>
    <row r="835" spans="2:12" ht="15" x14ac:dyDescent="0.25">
      <c r="B835" t="s">
        <v>969</v>
      </c>
      <c r="C835" t="s">
        <v>970</v>
      </c>
      <c r="D835" t="str">
        <f>HYPERLINK("https://rhld.insurance.arkansas.gov/NPILookup?Npi=1124025374","1124025374")</f>
        <v>1124025374</v>
      </c>
      <c r="E835" t="s">
        <v>974</v>
      </c>
      <c r="F835" t="s">
        <v>13</v>
      </c>
      <c r="G835" s="20">
        <v>2</v>
      </c>
      <c r="H835" t="s">
        <v>439</v>
      </c>
      <c r="I835" t="s">
        <v>4357</v>
      </c>
      <c r="J835" s="9"/>
      <c r="K835" s="23"/>
      <c r="L835" s="9"/>
    </row>
    <row r="836" spans="2:12" ht="15" x14ac:dyDescent="0.25">
      <c r="B836" t="s">
        <v>969</v>
      </c>
      <c r="C836" s="21" t="s">
        <v>970</v>
      </c>
      <c r="D836" s="21" t="str">
        <f>HYPERLINK("https://rhld.insurance.arkansas.gov/NPILookup?Npi=1083640072","1083640072")</f>
        <v>1083640072</v>
      </c>
      <c r="E836" s="21" t="s">
        <v>972</v>
      </c>
      <c r="F836" s="21" t="s">
        <v>12</v>
      </c>
      <c r="G836" s="22">
        <v>1</v>
      </c>
      <c r="H836" s="21" t="s">
        <v>141</v>
      </c>
      <c r="I836" s="21" t="s">
        <v>32</v>
      </c>
      <c r="J836" s="9"/>
      <c r="K836" s="23"/>
      <c r="L836" s="9"/>
    </row>
    <row r="837" spans="2:12" ht="15" x14ac:dyDescent="0.25">
      <c r="B837" t="s">
        <v>969</v>
      </c>
      <c r="C837" t="s">
        <v>970</v>
      </c>
      <c r="D837" t="str">
        <f>HYPERLINK("https://rhld.insurance.arkansas.gov/NPILookup?Npi=1346579364","1346579364")</f>
        <v>1346579364</v>
      </c>
      <c r="E837" t="s">
        <v>979</v>
      </c>
      <c r="F837" t="s">
        <v>13</v>
      </c>
      <c r="G837" s="20">
        <v>1</v>
      </c>
      <c r="H837" t="s">
        <v>87</v>
      </c>
      <c r="I837" t="s">
        <v>32</v>
      </c>
      <c r="J837" s="9"/>
      <c r="K837" s="9"/>
      <c r="L837" s="9"/>
    </row>
    <row r="838" spans="2:12" ht="15" x14ac:dyDescent="0.25">
      <c r="B838" t="s">
        <v>969</v>
      </c>
      <c r="C838" s="21" t="s">
        <v>970</v>
      </c>
      <c r="D838" s="21" t="str">
        <f>HYPERLINK("https://rhld.insurance.arkansas.gov/NPILookup?Npi=1134149339","1134149339")</f>
        <v>1134149339</v>
      </c>
      <c r="E838" s="21" t="s">
        <v>975</v>
      </c>
      <c r="F838" s="21" t="s">
        <v>12</v>
      </c>
      <c r="G838" s="22">
        <v>2</v>
      </c>
      <c r="H838" s="21" t="s">
        <v>4341</v>
      </c>
      <c r="I838" s="21" t="s">
        <v>32</v>
      </c>
      <c r="J838" s="9"/>
      <c r="K838" s="9"/>
      <c r="L838" s="9"/>
    </row>
    <row r="839" spans="2:12" ht="15" x14ac:dyDescent="0.25">
      <c r="B839" t="s">
        <v>969</v>
      </c>
      <c r="C839" s="21" t="s">
        <v>970</v>
      </c>
      <c r="D839" s="21" t="str">
        <f>HYPERLINK("https://rhld.insurance.arkansas.gov/NPILookup?Npi=1154399590","1154399590")</f>
        <v>1154399590</v>
      </c>
      <c r="E839" s="21" t="s">
        <v>976</v>
      </c>
      <c r="F839" s="21" t="s">
        <v>12</v>
      </c>
      <c r="G839" s="22">
        <v>1</v>
      </c>
      <c r="H839" s="21" t="s">
        <v>4338</v>
      </c>
      <c r="I839" s="21" t="s">
        <v>32</v>
      </c>
      <c r="J839" s="9"/>
      <c r="K839" s="9"/>
      <c r="L839" s="9"/>
    </row>
    <row r="840" spans="2:12" ht="15" x14ac:dyDescent="0.25">
      <c r="B840" t="s">
        <v>969</v>
      </c>
      <c r="C840" s="21" t="s">
        <v>970</v>
      </c>
      <c r="D840" s="21" t="str">
        <f>HYPERLINK("https://rhld.insurance.arkansas.gov/NPILookup?Npi=1316947195","1316947195")</f>
        <v>1316947195</v>
      </c>
      <c r="E840" s="21" t="s">
        <v>977</v>
      </c>
      <c r="F840" s="21" t="s">
        <v>12</v>
      </c>
      <c r="G840" s="22">
        <v>1</v>
      </c>
      <c r="H840" s="21" t="s">
        <v>978</v>
      </c>
      <c r="I840" s="21" t="s">
        <v>4357</v>
      </c>
      <c r="J840" s="9"/>
      <c r="K840" s="9"/>
      <c r="L840" s="9"/>
    </row>
    <row r="841" spans="2:12" ht="15" x14ac:dyDescent="0.25">
      <c r="B841" t="s">
        <v>969</v>
      </c>
      <c r="C841" t="s">
        <v>970</v>
      </c>
      <c r="D841" t="str">
        <f>HYPERLINK("https://rhld.insurance.arkansas.gov/NPILookup?Npi=1366464497","1366464497")</f>
        <v>1366464497</v>
      </c>
      <c r="E841" t="s">
        <v>980</v>
      </c>
      <c r="F841" t="s">
        <v>13</v>
      </c>
      <c r="G841" s="20">
        <v>1</v>
      </c>
      <c r="H841" t="s">
        <v>87</v>
      </c>
      <c r="I841" t="s">
        <v>4357</v>
      </c>
      <c r="J841" s="9"/>
      <c r="K841" s="9"/>
      <c r="L841" s="9"/>
    </row>
    <row r="842" spans="2:12" ht="15" x14ac:dyDescent="0.25">
      <c r="B842" t="s">
        <v>969</v>
      </c>
      <c r="C842" t="s">
        <v>970</v>
      </c>
      <c r="D842" t="str">
        <f>HYPERLINK("https://rhld.insurance.arkansas.gov/NPILookup?Npi=1528086048","1528086048")</f>
        <v>1528086048</v>
      </c>
      <c r="E842" t="s">
        <v>982</v>
      </c>
      <c r="F842" t="s">
        <v>13</v>
      </c>
      <c r="G842" s="20">
        <v>1</v>
      </c>
      <c r="H842" t="s">
        <v>87</v>
      </c>
      <c r="I842" t="s">
        <v>4357</v>
      </c>
      <c r="J842" s="9"/>
      <c r="K842" s="23"/>
      <c r="L842" s="9"/>
    </row>
    <row r="843" spans="2:12" ht="15" x14ac:dyDescent="0.25">
      <c r="B843" t="s">
        <v>969</v>
      </c>
      <c r="C843" t="s">
        <v>970</v>
      </c>
      <c r="D843" t="str">
        <f>HYPERLINK("https://rhld.insurance.arkansas.gov/NPILookup?Npi=1619949690","1619949690")</f>
        <v>1619949690</v>
      </c>
      <c r="E843" t="s">
        <v>983</v>
      </c>
      <c r="F843" t="s">
        <v>13</v>
      </c>
      <c r="G843" s="20">
        <v>1</v>
      </c>
      <c r="H843" t="s">
        <v>87</v>
      </c>
      <c r="I843" t="s">
        <v>4357</v>
      </c>
      <c r="J843" s="9"/>
      <c r="K843" s="9"/>
      <c r="L843" s="9"/>
    </row>
    <row r="844" spans="2:12" ht="15" x14ac:dyDescent="0.25">
      <c r="B844" t="s">
        <v>969</v>
      </c>
      <c r="C844" t="s">
        <v>970</v>
      </c>
      <c r="D844" t="str">
        <f>HYPERLINK("https://rhld.insurance.arkansas.gov/NPILookup?Npi=1659832772","1659832772")</f>
        <v>1659832772</v>
      </c>
      <c r="E844" t="s">
        <v>984</v>
      </c>
      <c r="F844" t="s">
        <v>13</v>
      </c>
      <c r="G844" s="20">
        <v>1</v>
      </c>
      <c r="H844" t="s">
        <v>4357</v>
      </c>
      <c r="I844" t="s">
        <v>4357</v>
      </c>
      <c r="J844" s="9"/>
      <c r="K844" s="23"/>
      <c r="L844" s="9"/>
    </row>
    <row r="845" spans="2:12" ht="15" x14ac:dyDescent="0.25">
      <c r="B845" t="s">
        <v>969</v>
      </c>
      <c r="C845" t="s">
        <v>970</v>
      </c>
      <c r="D845" t="str">
        <f>HYPERLINK("https://rhld.insurance.arkansas.gov/NPILookup?Npi=1861564304","1861564304")</f>
        <v>1861564304</v>
      </c>
      <c r="E845" t="s">
        <v>987</v>
      </c>
      <c r="F845" t="s">
        <v>13</v>
      </c>
      <c r="G845" s="20">
        <v>1</v>
      </c>
      <c r="H845" t="s">
        <v>87</v>
      </c>
      <c r="I845" t="s">
        <v>4357</v>
      </c>
      <c r="J845" s="9"/>
      <c r="K845" s="9"/>
      <c r="L845" s="9"/>
    </row>
    <row r="846" spans="2:12" ht="15" x14ac:dyDescent="0.25">
      <c r="B846" t="s">
        <v>969</v>
      </c>
      <c r="C846" s="21" t="s">
        <v>970</v>
      </c>
      <c r="D846" s="21" t="str">
        <f>HYPERLINK("https://rhld.insurance.arkansas.gov/NPILookup?Npi=1851644256","1851644256")</f>
        <v>1851644256</v>
      </c>
      <c r="E846" s="21" t="s">
        <v>986</v>
      </c>
      <c r="F846" s="21" t="s">
        <v>12</v>
      </c>
      <c r="G846" s="22">
        <v>1</v>
      </c>
      <c r="H846" s="21" t="s">
        <v>4338</v>
      </c>
      <c r="I846" s="21" t="s">
        <v>32</v>
      </c>
      <c r="J846" s="9"/>
      <c r="K846" s="9"/>
      <c r="L846" s="9"/>
    </row>
    <row r="847" spans="2:12" ht="15" x14ac:dyDescent="0.25">
      <c r="B847" t="s">
        <v>989</v>
      </c>
      <c r="C847" t="s">
        <v>990</v>
      </c>
      <c r="D847" t="str">
        <f>HYPERLINK("https://rhld.insurance.arkansas.gov/NPILookup?Npi=1023049335","1023049335")</f>
        <v>1023049335</v>
      </c>
      <c r="E847" t="s">
        <v>993</v>
      </c>
      <c r="F847" t="s">
        <v>13</v>
      </c>
      <c r="G847" s="20">
        <v>1</v>
      </c>
      <c r="H847" t="s">
        <v>4357</v>
      </c>
      <c r="I847" t="s">
        <v>4357</v>
      </c>
      <c r="J847" s="9"/>
      <c r="K847" s="9"/>
      <c r="L847" s="9"/>
    </row>
    <row r="848" spans="2:12" ht="15" x14ac:dyDescent="0.25">
      <c r="B848" t="s">
        <v>969</v>
      </c>
      <c r="C848" s="21" t="s">
        <v>970</v>
      </c>
      <c r="D848" s="21" t="str">
        <f>HYPERLINK("https://rhld.insurance.arkansas.gov/NPILookup?Npi=1962627984","1962627984")</f>
        <v>1962627984</v>
      </c>
      <c r="E848" s="21" t="s">
        <v>988</v>
      </c>
      <c r="F848" s="21" t="s">
        <v>12</v>
      </c>
      <c r="G848" s="22">
        <v>1</v>
      </c>
      <c r="H848" s="21" t="s">
        <v>139</v>
      </c>
      <c r="I848" s="21" t="s">
        <v>32</v>
      </c>
      <c r="J848" s="9"/>
      <c r="K848" s="9"/>
      <c r="L848" s="9"/>
    </row>
    <row r="849" spans="2:12" ht="15" x14ac:dyDescent="0.25">
      <c r="B849" t="s">
        <v>989</v>
      </c>
      <c r="C849" t="s">
        <v>990</v>
      </c>
      <c r="D849" t="str">
        <f>HYPERLINK("https://rhld.insurance.arkansas.gov/NPILookup?Npi=1003820036","1003820036")</f>
        <v>1003820036</v>
      </c>
      <c r="E849" t="s">
        <v>991</v>
      </c>
      <c r="F849" t="s">
        <v>12</v>
      </c>
      <c r="G849" s="20">
        <v>1</v>
      </c>
      <c r="H849" t="s">
        <v>4338</v>
      </c>
      <c r="I849" t="s">
        <v>32</v>
      </c>
      <c r="J849" s="9"/>
      <c r="K849" s="9"/>
      <c r="L849" s="9"/>
    </row>
    <row r="850" spans="2:12" ht="15" x14ac:dyDescent="0.25">
      <c r="B850" t="s">
        <v>989</v>
      </c>
      <c r="C850" t="s">
        <v>990</v>
      </c>
      <c r="D850" t="str">
        <f>HYPERLINK("https://rhld.insurance.arkansas.gov/NPILookup?Npi=1013259100","1013259100")</f>
        <v>1013259100</v>
      </c>
      <c r="E850" t="s">
        <v>82</v>
      </c>
      <c r="F850" t="s">
        <v>12</v>
      </c>
      <c r="G850" s="20">
        <v>2</v>
      </c>
      <c r="H850" t="s">
        <v>4339</v>
      </c>
      <c r="I850" t="s">
        <v>32</v>
      </c>
      <c r="J850" s="9"/>
      <c r="K850" s="9"/>
      <c r="L850" s="9"/>
    </row>
    <row r="851" spans="2:12" ht="15" x14ac:dyDescent="0.25">
      <c r="B851" t="s">
        <v>989</v>
      </c>
      <c r="C851" t="s">
        <v>990</v>
      </c>
      <c r="D851" t="str">
        <f>HYPERLINK("https://rhld.insurance.arkansas.gov/NPILookup?Npi=1013962935","1013962935")</f>
        <v>1013962935</v>
      </c>
      <c r="E851" t="s">
        <v>992</v>
      </c>
      <c r="F851" t="s">
        <v>12</v>
      </c>
      <c r="G851" s="20">
        <v>1</v>
      </c>
      <c r="H851" t="s">
        <v>4338</v>
      </c>
      <c r="I851" t="s">
        <v>32</v>
      </c>
      <c r="J851" s="9"/>
      <c r="K851" s="9"/>
      <c r="L851" s="9"/>
    </row>
    <row r="852" spans="2:12" ht="15" x14ac:dyDescent="0.25">
      <c r="B852" t="s">
        <v>989</v>
      </c>
      <c r="C852" t="s">
        <v>990</v>
      </c>
      <c r="D852" t="str">
        <f>HYPERLINK("https://rhld.insurance.arkansas.gov/NPILookup?Npi=1013984517","1013984517")</f>
        <v>1013984517</v>
      </c>
      <c r="E852" t="s">
        <v>84</v>
      </c>
      <c r="F852" t="s">
        <v>12</v>
      </c>
      <c r="G852" s="20">
        <v>1</v>
      </c>
      <c r="H852" t="s">
        <v>4338</v>
      </c>
      <c r="I852" t="s">
        <v>4357</v>
      </c>
      <c r="J852" s="9"/>
      <c r="K852" s="9"/>
      <c r="L852" s="9"/>
    </row>
    <row r="853" spans="2:12" ht="15" x14ac:dyDescent="0.25">
      <c r="B853" t="s">
        <v>989</v>
      </c>
      <c r="C853" t="s">
        <v>990</v>
      </c>
      <c r="D853" t="str">
        <f>HYPERLINK("https://rhld.insurance.arkansas.gov/NPILookup?Npi=1023239720","1023239720")</f>
        <v>1023239720</v>
      </c>
      <c r="E853" t="s">
        <v>995</v>
      </c>
      <c r="F853" t="s">
        <v>13</v>
      </c>
      <c r="G853" s="20">
        <v>1</v>
      </c>
      <c r="H853" t="s">
        <v>87</v>
      </c>
      <c r="I853" t="s">
        <v>4357</v>
      </c>
      <c r="J853" s="9"/>
      <c r="K853" s="9"/>
      <c r="L853" s="9"/>
    </row>
    <row r="854" spans="2:12" ht="15" x14ac:dyDescent="0.25">
      <c r="B854" t="s">
        <v>989</v>
      </c>
      <c r="C854" t="s">
        <v>990</v>
      </c>
      <c r="D854" t="str">
        <f>HYPERLINK("https://rhld.insurance.arkansas.gov/NPILookup?Npi=1023075637","1023075637")</f>
        <v>1023075637</v>
      </c>
      <c r="E854" t="s">
        <v>955</v>
      </c>
      <c r="F854" t="s">
        <v>12</v>
      </c>
      <c r="G854" s="20">
        <v>1</v>
      </c>
      <c r="H854" t="s">
        <v>4338</v>
      </c>
      <c r="I854" t="s">
        <v>4357</v>
      </c>
      <c r="J854" s="9"/>
      <c r="K854" s="9"/>
      <c r="L854" s="9"/>
    </row>
    <row r="855" spans="2:12" ht="15" x14ac:dyDescent="0.25">
      <c r="B855" t="s">
        <v>989</v>
      </c>
      <c r="C855" t="s">
        <v>990</v>
      </c>
      <c r="D855" t="str">
        <f>HYPERLINK("https://rhld.insurance.arkansas.gov/NPILookup?Npi=1023087764","1023087764")</f>
        <v>1023087764</v>
      </c>
      <c r="E855" t="s">
        <v>994</v>
      </c>
      <c r="F855" t="s">
        <v>12</v>
      </c>
      <c r="G855" s="20">
        <v>1</v>
      </c>
      <c r="H855" t="s">
        <v>4338</v>
      </c>
      <c r="I855" t="s">
        <v>4357</v>
      </c>
      <c r="J855" s="9"/>
      <c r="K855" s="9"/>
      <c r="L855" s="9"/>
    </row>
    <row r="856" spans="2:12" ht="15" x14ac:dyDescent="0.25">
      <c r="B856" t="s">
        <v>989</v>
      </c>
      <c r="C856" t="s">
        <v>990</v>
      </c>
      <c r="D856" t="str">
        <f>HYPERLINK("https://rhld.insurance.arkansas.gov/NPILookup?Npi=1083624365","1083624365")</f>
        <v>1083624365</v>
      </c>
      <c r="E856" t="s">
        <v>1001</v>
      </c>
      <c r="F856" t="s">
        <v>13</v>
      </c>
      <c r="G856" s="20">
        <v>1</v>
      </c>
      <c r="H856" t="s">
        <v>87</v>
      </c>
      <c r="I856" t="s">
        <v>4357</v>
      </c>
      <c r="J856" s="9"/>
      <c r="K856" s="9"/>
      <c r="L856" s="9"/>
    </row>
    <row r="857" spans="2:12" ht="15" x14ac:dyDescent="0.25">
      <c r="B857" t="s">
        <v>989</v>
      </c>
      <c r="C857" t="s">
        <v>990</v>
      </c>
      <c r="D857" t="str">
        <f>HYPERLINK("https://rhld.insurance.arkansas.gov/NPILookup?Npi=1043310006","1043310006")</f>
        <v>1043310006</v>
      </c>
      <c r="E857" t="s">
        <v>996</v>
      </c>
      <c r="F857" t="s">
        <v>12</v>
      </c>
      <c r="G857" s="20">
        <v>1</v>
      </c>
      <c r="H857" t="s">
        <v>4338</v>
      </c>
      <c r="I857" t="s">
        <v>32</v>
      </c>
      <c r="J857" s="9"/>
      <c r="K857" s="9"/>
      <c r="L857" s="9"/>
    </row>
    <row r="858" spans="2:12" ht="15" x14ac:dyDescent="0.25">
      <c r="B858" t="s">
        <v>989</v>
      </c>
      <c r="C858" t="s">
        <v>990</v>
      </c>
      <c r="D858" t="str">
        <f>HYPERLINK("https://rhld.insurance.arkansas.gov/NPILookup?Npi=1053374496","1053374496")</f>
        <v>1053374496</v>
      </c>
      <c r="E858" t="s">
        <v>997</v>
      </c>
      <c r="F858" t="s">
        <v>12</v>
      </c>
      <c r="G858" s="20">
        <v>1</v>
      </c>
      <c r="H858" t="s">
        <v>139</v>
      </c>
      <c r="I858" t="s">
        <v>32</v>
      </c>
      <c r="J858" s="9"/>
      <c r="K858" s="9"/>
      <c r="L858" s="9"/>
    </row>
    <row r="859" spans="2:12" ht="15" x14ac:dyDescent="0.25">
      <c r="B859" t="s">
        <v>989</v>
      </c>
      <c r="C859" t="s">
        <v>990</v>
      </c>
      <c r="D859" t="str">
        <f>HYPERLINK("https://rhld.insurance.arkansas.gov/NPILookup?Npi=1053381467","1053381467")</f>
        <v>1053381467</v>
      </c>
      <c r="E859" t="s">
        <v>998</v>
      </c>
      <c r="F859" t="s">
        <v>12</v>
      </c>
      <c r="G859" s="20">
        <v>1</v>
      </c>
      <c r="H859" t="s">
        <v>4338</v>
      </c>
      <c r="I859" t="s">
        <v>32</v>
      </c>
      <c r="J859" s="9"/>
      <c r="K859" s="9"/>
      <c r="L859" s="9"/>
    </row>
    <row r="860" spans="2:12" ht="15" x14ac:dyDescent="0.25">
      <c r="B860" t="s">
        <v>989</v>
      </c>
      <c r="C860" t="s">
        <v>990</v>
      </c>
      <c r="D860" t="str">
        <f>HYPERLINK("https://rhld.insurance.arkansas.gov/NPILookup?Npi=1063048817","1063048817")</f>
        <v>1063048817</v>
      </c>
      <c r="E860" t="s">
        <v>999</v>
      </c>
      <c r="F860" t="s">
        <v>12</v>
      </c>
      <c r="G860" s="20">
        <v>1</v>
      </c>
      <c r="H860" t="s">
        <v>4338</v>
      </c>
      <c r="I860" t="s">
        <v>32</v>
      </c>
      <c r="J860" s="9"/>
      <c r="K860" s="9"/>
      <c r="L860" s="9"/>
    </row>
    <row r="861" spans="2:12" ht="15" x14ac:dyDescent="0.25">
      <c r="B861" t="s">
        <v>989</v>
      </c>
      <c r="C861" t="s">
        <v>990</v>
      </c>
      <c r="D861" t="str">
        <f>HYPERLINK("https://rhld.insurance.arkansas.gov/NPILookup?Npi=1063638104","1063638104")</f>
        <v>1063638104</v>
      </c>
      <c r="E861" t="s">
        <v>1000</v>
      </c>
      <c r="F861" t="s">
        <v>12</v>
      </c>
      <c r="G861" s="20">
        <v>1</v>
      </c>
      <c r="H861" t="s">
        <v>4338</v>
      </c>
      <c r="I861" t="s">
        <v>32</v>
      </c>
      <c r="J861" s="9"/>
      <c r="K861" s="9"/>
      <c r="L861" s="9"/>
    </row>
    <row r="862" spans="2:12" ht="15" x14ac:dyDescent="0.25">
      <c r="B862" t="s">
        <v>989</v>
      </c>
      <c r="C862" t="s">
        <v>990</v>
      </c>
      <c r="D862" t="str">
        <f>HYPERLINK("https://rhld.insurance.arkansas.gov/NPILookup?Npi=1093236564","1093236564")</f>
        <v>1093236564</v>
      </c>
      <c r="E862" t="s">
        <v>1002</v>
      </c>
      <c r="F862" t="s">
        <v>13</v>
      </c>
      <c r="G862" s="20">
        <v>1</v>
      </c>
      <c r="H862" t="s">
        <v>87</v>
      </c>
      <c r="I862" t="s">
        <v>4357</v>
      </c>
      <c r="J862" s="9"/>
      <c r="K862" s="9"/>
      <c r="L862" s="9"/>
    </row>
    <row r="863" spans="2:12" ht="15" x14ac:dyDescent="0.25">
      <c r="B863" t="s">
        <v>989</v>
      </c>
      <c r="C863" t="s">
        <v>990</v>
      </c>
      <c r="D863" t="str">
        <f>HYPERLINK("https://rhld.insurance.arkansas.gov/NPILookup?Npi=1124219381","1124219381")</f>
        <v>1124219381</v>
      </c>
      <c r="E863" t="s">
        <v>1004</v>
      </c>
      <c r="F863" t="s">
        <v>13</v>
      </c>
      <c r="G863" s="20">
        <v>2</v>
      </c>
      <c r="H863" t="s">
        <v>439</v>
      </c>
      <c r="I863" t="s">
        <v>4357</v>
      </c>
      <c r="J863" s="9"/>
      <c r="K863" s="9"/>
      <c r="L863" s="9"/>
    </row>
    <row r="864" spans="2:12" ht="15" x14ac:dyDescent="0.25">
      <c r="B864" t="s">
        <v>989</v>
      </c>
      <c r="C864" t="s">
        <v>990</v>
      </c>
      <c r="D864" t="str">
        <f>HYPERLINK("https://rhld.insurance.arkansas.gov/NPILookup?Npi=1093858581","1093858581")</f>
        <v>1093858581</v>
      </c>
      <c r="E864" t="s">
        <v>422</v>
      </c>
      <c r="F864" t="s">
        <v>12</v>
      </c>
      <c r="G864" s="20">
        <v>1</v>
      </c>
      <c r="H864" t="s">
        <v>4338</v>
      </c>
      <c r="I864" t="s">
        <v>32</v>
      </c>
      <c r="J864" s="9"/>
      <c r="K864" s="9"/>
      <c r="L864" s="9"/>
    </row>
    <row r="865" spans="2:12" ht="15" x14ac:dyDescent="0.25">
      <c r="B865" t="s">
        <v>989</v>
      </c>
      <c r="C865" t="s">
        <v>990</v>
      </c>
      <c r="D865" t="str">
        <f>HYPERLINK("https://rhld.insurance.arkansas.gov/NPILookup?Npi=1104805498","1104805498")</f>
        <v>1104805498</v>
      </c>
      <c r="E865" t="s">
        <v>1003</v>
      </c>
      <c r="F865" t="s">
        <v>12</v>
      </c>
      <c r="G865" s="20">
        <v>1</v>
      </c>
      <c r="H865" t="s">
        <v>4338</v>
      </c>
      <c r="I865" t="s">
        <v>32</v>
      </c>
      <c r="J865" s="9"/>
      <c r="K865" s="9"/>
      <c r="L865" s="9"/>
    </row>
    <row r="866" spans="2:12" ht="15" x14ac:dyDescent="0.25">
      <c r="B866" t="s">
        <v>989</v>
      </c>
      <c r="C866" t="s">
        <v>990</v>
      </c>
      <c r="D866" t="str">
        <f>HYPERLINK("https://rhld.insurance.arkansas.gov/NPILookup?Npi=1164772323","1164772323")</f>
        <v>1164772323</v>
      </c>
      <c r="E866" t="s">
        <v>1010</v>
      </c>
      <c r="F866" t="s">
        <v>13</v>
      </c>
      <c r="G866" s="20">
        <v>1</v>
      </c>
      <c r="H866" t="s">
        <v>87</v>
      </c>
      <c r="I866" t="s">
        <v>32</v>
      </c>
      <c r="J866" s="9"/>
      <c r="K866" s="9"/>
      <c r="L866" s="9"/>
    </row>
    <row r="867" spans="2:12" ht="15" x14ac:dyDescent="0.25">
      <c r="B867" t="s">
        <v>989</v>
      </c>
      <c r="C867" t="s">
        <v>990</v>
      </c>
      <c r="D867" t="str">
        <f>HYPERLINK("https://rhld.insurance.arkansas.gov/NPILookup?Npi=1124398847","1124398847")</f>
        <v>1124398847</v>
      </c>
      <c r="E867" t="s">
        <v>1005</v>
      </c>
      <c r="F867" t="s">
        <v>12</v>
      </c>
      <c r="G867" s="20">
        <v>1</v>
      </c>
      <c r="H867" t="s">
        <v>4338</v>
      </c>
      <c r="I867" t="s">
        <v>32</v>
      </c>
      <c r="J867" s="9"/>
      <c r="K867" s="9"/>
      <c r="L867" s="9"/>
    </row>
    <row r="868" spans="2:12" ht="15" x14ac:dyDescent="0.25">
      <c r="B868" t="s">
        <v>989</v>
      </c>
      <c r="C868" t="s">
        <v>990</v>
      </c>
      <c r="D868" t="str">
        <f>HYPERLINK("https://rhld.insurance.arkansas.gov/NPILookup?Npi=1134209273","1134209273")</f>
        <v>1134209273</v>
      </c>
      <c r="E868" t="s">
        <v>1006</v>
      </c>
      <c r="F868" t="s">
        <v>12</v>
      </c>
      <c r="G868" s="20">
        <v>1</v>
      </c>
      <c r="H868" t="s">
        <v>4338</v>
      </c>
      <c r="I868" t="s">
        <v>32</v>
      </c>
      <c r="J868" s="9"/>
      <c r="K868" s="9"/>
      <c r="L868" s="9"/>
    </row>
    <row r="869" spans="2:12" ht="15" x14ac:dyDescent="0.25">
      <c r="B869" t="s">
        <v>989</v>
      </c>
      <c r="C869" t="s">
        <v>990</v>
      </c>
      <c r="D869" t="str">
        <f>HYPERLINK("https://rhld.insurance.arkansas.gov/NPILookup?Npi=1154497717","1154497717")</f>
        <v>1154497717</v>
      </c>
      <c r="E869" t="s">
        <v>153</v>
      </c>
      <c r="F869" t="s">
        <v>12</v>
      </c>
      <c r="G869" s="20">
        <v>1</v>
      </c>
      <c r="H869" t="s">
        <v>4338</v>
      </c>
      <c r="I869" t="s">
        <v>32</v>
      </c>
      <c r="J869" s="9"/>
      <c r="K869" s="9"/>
      <c r="L869" s="9"/>
    </row>
    <row r="870" spans="2:12" ht="15" x14ac:dyDescent="0.25">
      <c r="B870" t="s">
        <v>989</v>
      </c>
      <c r="C870" t="s">
        <v>990</v>
      </c>
      <c r="D870" t="str">
        <f>HYPERLINK("https://rhld.insurance.arkansas.gov/NPILookup?Npi=1164413928","1164413928")</f>
        <v>1164413928</v>
      </c>
      <c r="E870" t="s">
        <v>1007</v>
      </c>
      <c r="F870" t="s">
        <v>12</v>
      </c>
      <c r="G870" s="20">
        <v>1</v>
      </c>
      <c r="H870" t="s">
        <v>4338</v>
      </c>
      <c r="I870" t="s">
        <v>32</v>
      </c>
      <c r="J870" s="9"/>
      <c r="K870" s="9"/>
      <c r="L870" s="9"/>
    </row>
    <row r="871" spans="2:12" ht="15" x14ac:dyDescent="0.25">
      <c r="B871" t="s">
        <v>989</v>
      </c>
      <c r="C871" t="s">
        <v>990</v>
      </c>
      <c r="D871" t="str">
        <f>HYPERLINK("https://rhld.insurance.arkansas.gov/NPILookup?Npi=1164472072","1164472072")</f>
        <v>1164472072</v>
      </c>
      <c r="E871" t="s">
        <v>1008</v>
      </c>
      <c r="F871" t="s">
        <v>12</v>
      </c>
      <c r="G871" s="20">
        <v>1</v>
      </c>
      <c r="H871" t="s">
        <v>4338</v>
      </c>
      <c r="I871" t="s">
        <v>32</v>
      </c>
      <c r="J871" s="9"/>
      <c r="K871" s="9"/>
      <c r="L871" s="9"/>
    </row>
    <row r="872" spans="2:12" ht="15" x14ac:dyDescent="0.25">
      <c r="B872" t="s">
        <v>989</v>
      </c>
      <c r="C872" t="s">
        <v>990</v>
      </c>
      <c r="D872" t="str">
        <f>HYPERLINK("https://rhld.insurance.arkansas.gov/NPILookup?Npi=1164515318","1164515318")</f>
        <v>1164515318</v>
      </c>
      <c r="E872" t="s">
        <v>1009</v>
      </c>
      <c r="F872" t="s">
        <v>12</v>
      </c>
      <c r="G872" s="20">
        <v>1</v>
      </c>
      <c r="H872" t="s">
        <v>4338</v>
      </c>
      <c r="I872" t="s">
        <v>32</v>
      </c>
      <c r="J872" s="9"/>
      <c r="K872" s="9"/>
      <c r="L872" s="9"/>
    </row>
    <row r="873" spans="2:12" ht="15" x14ac:dyDescent="0.25">
      <c r="B873" t="s">
        <v>989</v>
      </c>
      <c r="C873" t="s">
        <v>990</v>
      </c>
      <c r="D873" t="str">
        <f>HYPERLINK("https://rhld.insurance.arkansas.gov/NPILookup?Npi=1164635272","1164635272")</f>
        <v>1164635272</v>
      </c>
      <c r="E873" t="s">
        <v>455</v>
      </c>
      <c r="F873" t="s">
        <v>12</v>
      </c>
      <c r="G873" s="20">
        <v>1</v>
      </c>
      <c r="H873" t="s">
        <v>4338</v>
      </c>
      <c r="I873" t="s">
        <v>32</v>
      </c>
      <c r="J873" s="9"/>
      <c r="K873" s="9"/>
      <c r="L873" s="9"/>
    </row>
    <row r="874" spans="2:12" ht="15" x14ac:dyDescent="0.25">
      <c r="B874" t="s">
        <v>989</v>
      </c>
      <c r="C874" t="s">
        <v>990</v>
      </c>
      <c r="D874" t="str">
        <f>HYPERLINK("https://rhld.insurance.arkansas.gov/NPILookup?Npi=1174513774","1174513774")</f>
        <v>1174513774</v>
      </c>
      <c r="E874" t="s">
        <v>1011</v>
      </c>
      <c r="F874" t="s">
        <v>13</v>
      </c>
      <c r="G874" s="20">
        <v>1</v>
      </c>
      <c r="H874" t="s">
        <v>87</v>
      </c>
      <c r="I874" t="s">
        <v>4357</v>
      </c>
      <c r="J874" s="9"/>
      <c r="K874" s="9"/>
      <c r="L874" s="9"/>
    </row>
    <row r="875" spans="2:12" ht="15" x14ac:dyDescent="0.25">
      <c r="B875" t="s">
        <v>989</v>
      </c>
      <c r="C875" t="s">
        <v>990</v>
      </c>
      <c r="D875" t="str">
        <f>HYPERLINK("https://rhld.insurance.arkansas.gov/NPILookup?Npi=1174589980","1174589980")</f>
        <v>1174589980</v>
      </c>
      <c r="E875" t="s">
        <v>1014</v>
      </c>
      <c r="F875" t="s">
        <v>13</v>
      </c>
      <c r="G875" s="20">
        <v>1</v>
      </c>
      <c r="H875" t="s">
        <v>87</v>
      </c>
      <c r="I875" t="s">
        <v>4357</v>
      </c>
      <c r="J875" s="9"/>
      <c r="K875" s="9"/>
      <c r="L875" s="9"/>
    </row>
    <row r="876" spans="2:12" ht="15" x14ac:dyDescent="0.25">
      <c r="B876" t="s">
        <v>989</v>
      </c>
      <c r="C876" t="s">
        <v>990</v>
      </c>
      <c r="D876" t="str">
        <f>HYPERLINK("https://rhld.insurance.arkansas.gov/NPILookup?Npi=1174517460","1174517460")</f>
        <v>1174517460</v>
      </c>
      <c r="E876" t="s">
        <v>1012</v>
      </c>
      <c r="F876" t="s">
        <v>12</v>
      </c>
      <c r="G876" s="20">
        <v>1</v>
      </c>
      <c r="H876" t="s">
        <v>4338</v>
      </c>
      <c r="I876" t="s">
        <v>32</v>
      </c>
      <c r="J876" s="9"/>
      <c r="K876" s="9"/>
      <c r="L876" s="9"/>
    </row>
    <row r="877" spans="2:12" ht="15" x14ac:dyDescent="0.25">
      <c r="B877" t="s">
        <v>989</v>
      </c>
      <c r="C877" t="s">
        <v>990</v>
      </c>
      <c r="D877" t="str">
        <f>HYPERLINK("https://rhld.insurance.arkansas.gov/NPILookup?Npi=1174558001","1174558001")</f>
        <v>1174558001</v>
      </c>
      <c r="E877" t="s">
        <v>1013</v>
      </c>
      <c r="F877" t="s">
        <v>12</v>
      </c>
      <c r="G877" s="20">
        <v>1</v>
      </c>
      <c r="H877" t="s">
        <v>4338</v>
      </c>
      <c r="I877" t="s">
        <v>32</v>
      </c>
      <c r="J877" s="9"/>
      <c r="K877" s="9"/>
      <c r="L877" s="9"/>
    </row>
    <row r="878" spans="2:12" ht="15" x14ac:dyDescent="0.25">
      <c r="B878" t="s">
        <v>989</v>
      </c>
      <c r="C878" t="s">
        <v>990</v>
      </c>
      <c r="D878" t="str">
        <f>HYPERLINK("https://rhld.insurance.arkansas.gov/NPILookup?Npi=1174780605","1174780605")</f>
        <v>1174780605</v>
      </c>
      <c r="E878" t="s">
        <v>1015</v>
      </c>
      <c r="F878" t="s">
        <v>13</v>
      </c>
      <c r="G878" s="20">
        <v>1</v>
      </c>
      <c r="H878" t="s">
        <v>87</v>
      </c>
      <c r="I878" t="s">
        <v>4357</v>
      </c>
      <c r="J878" s="9"/>
      <c r="K878" s="9"/>
      <c r="L878" s="9"/>
    </row>
    <row r="879" spans="2:12" ht="15" x14ac:dyDescent="0.25">
      <c r="B879" t="s">
        <v>989</v>
      </c>
      <c r="C879" t="s">
        <v>990</v>
      </c>
      <c r="D879" t="str">
        <f>HYPERLINK("https://rhld.insurance.arkansas.gov/NPILookup?Npi=1205830684","1205830684")</f>
        <v>1205830684</v>
      </c>
      <c r="E879" t="s">
        <v>1017</v>
      </c>
      <c r="F879" t="s">
        <v>13</v>
      </c>
      <c r="G879" s="20">
        <v>1</v>
      </c>
      <c r="H879" t="s">
        <v>87</v>
      </c>
      <c r="I879" t="s">
        <v>32</v>
      </c>
      <c r="J879" s="9"/>
      <c r="K879" s="9"/>
      <c r="L879" s="9"/>
    </row>
    <row r="880" spans="2:12" ht="15" x14ac:dyDescent="0.25">
      <c r="B880" t="s">
        <v>989</v>
      </c>
      <c r="C880" t="s">
        <v>990</v>
      </c>
      <c r="D880" t="str">
        <f>HYPERLINK("https://rhld.insurance.arkansas.gov/NPILookup?Npi=1194921486","1194921486")</f>
        <v>1194921486</v>
      </c>
      <c r="E880" t="s">
        <v>1016</v>
      </c>
      <c r="F880" t="s">
        <v>12</v>
      </c>
      <c r="G880" s="20">
        <v>1</v>
      </c>
      <c r="H880" t="s">
        <v>4338</v>
      </c>
      <c r="I880" t="s">
        <v>32</v>
      </c>
      <c r="J880" s="9"/>
      <c r="K880" s="9"/>
      <c r="L880" s="9"/>
    </row>
    <row r="881" spans="2:12" ht="15" x14ac:dyDescent="0.25">
      <c r="B881" t="s">
        <v>989</v>
      </c>
      <c r="C881" t="s">
        <v>990</v>
      </c>
      <c r="D881" t="str">
        <f>HYPERLINK("https://rhld.insurance.arkansas.gov/NPILookup?Npi=1225017155","1225017155")</f>
        <v>1225017155</v>
      </c>
      <c r="E881" t="s">
        <v>1022</v>
      </c>
      <c r="F881" t="s">
        <v>13</v>
      </c>
      <c r="G881" s="20">
        <v>1</v>
      </c>
      <c r="H881" t="s">
        <v>87</v>
      </c>
      <c r="I881" t="s">
        <v>32</v>
      </c>
      <c r="J881" s="9"/>
      <c r="K881" s="9"/>
      <c r="L881" s="9"/>
    </row>
    <row r="882" spans="2:12" ht="15" x14ac:dyDescent="0.25">
      <c r="B882" t="s">
        <v>989</v>
      </c>
      <c r="C882" t="s">
        <v>990</v>
      </c>
      <c r="D882" t="str">
        <f>HYPERLINK("https://rhld.insurance.arkansas.gov/NPILookup?Npi=1205834074","1205834074")</f>
        <v>1205834074</v>
      </c>
      <c r="E882" t="s">
        <v>1018</v>
      </c>
      <c r="F882" t="s">
        <v>12</v>
      </c>
      <c r="G882" s="20">
        <v>1</v>
      </c>
      <c r="H882" t="s">
        <v>4338</v>
      </c>
      <c r="I882" t="s">
        <v>4357</v>
      </c>
      <c r="J882" s="9"/>
      <c r="K882" s="9"/>
      <c r="L882" s="9"/>
    </row>
    <row r="883" spans="2:12" ht="15" x14ac:dyDescent="0.25">
      <c r="B883" t="s">
        <v>989</v>
      </c>
      <c r="C883" t="s">
        <v>990</v>
      </c>
      <c r="D883" t="str">
        <f>HYPERLINK("https://rhld.insurance.arkansas.gov/NPILookup?Npi=1205977634","1205977634")</f>
        <v>1205977634</v>
      </c>
      <c r="E883" t="s">
        <v>1019</v>
      </c>
      <c r="F883" t="s">
        <v>12</v>
      </c>
      <c r="G883" s="20">
        <v>1</v>
      </c>
      <c r="H883" t="s">
        <v>4338</v>
      </c>
      <c r="I883" t="s">
        <v>32</v>
      </c>
      <c r="J883" s="9"/>
      <c r="K883" s="9"/>
      <c r="L883" s="9"/>
    </row>
    <row r="884" spans="2:12" ht="15" x14ac:dyDescent="0.25">
      <c r="B884" t="s">
        <v>989</v>
      </c>
      <c r="C884" t="s">
        <v>990</v>
      </c>
      <c r="D884" t="str">
        <f>HYPERLINK("https://rhld.insurance.arkansas.gov/NPILookup?Npi=1215127832","1215127832")</f>
        <v>1215127832</v>
      </c>
      <c r="E884" t="s">
        <v>1020</v>
      </c>
      <c r="F884" t="s">
        <v>12</v>
      </c>
      <c r="G884" s="20">
        <v>1</v>
      </c>
      <c r="H884" t="s">
        <v>4338</v>
      </c>
      <c r="I884" t="s">
        <v>32</v>
      </c>
      <c r="J884" s="9"/>
      <c r="K884" s="9"/>
      <c r="L884" s="9"/>
    </row>
    <row r="885" spans="2:12" ht="15" x14ac:dyDescent="0.25">
      <c r="B885" t="s">
        <v>989</v>
      </c>
      <c r="C885" t="s">
        <v>990</v>
      </c>
      <c r="D885" t="str">
        <f>HYPERLINK("https://rhld.insurance.arkansas.gov/NPILookup?Npi=1215215371","1215215371")</f>
        <v>1215215371</v>
      </c>
      <c r="E885" t="s">
        <v>1021</v>
      </c>
      <c r="F885" t="s">
        <v>12</v>
      </c>
      <c r="G885" s="20">
        <v>1</v>
      </c>
      <c r="H885" t="s">
        <v>4338</v>
      </c>
      <c r="I885" t="s">
        <v>4357</v>
      </c>
      <c r="J885" s="9"/>
      <c r="K885" s="9"/>
      <c r="L885" s="9"/>
    </row>
    <row r="886" spans="2:12" ht="15" x14ac:dyDescent="0.25">
      <c r="B886" t="s">
        <v>989</v>
      </c>
      <c r="C886" t="s">
        <v>990</v>
      </c>
      <c r="D886" t="str">
        <f>HYPERLINK("https://rhld.insurance.arkansas.gov/NPILookup?Npi=1275206435","1275206435")</f>
        <v>1275206435</v>
      </c>
      <c r="E886" t="s">
        <v>1030</v>
      </c>
      <c r="F886" t="s">
        <v>13</v>
      </c>
      <c r="G886" s="20">
        <v>2</v>
      </c>
      <c r="H886" t="s">
        <v>439</v>
      </c>
      <c r="I886" t="s">
        <v>4357</v>
      </c>
      <c r="J886" s="9"/>
      <c r="K886" s="9"/>
      <c r="L886" s="9"/>
    </row>
    <row r="887" spans="2:12" ht="15" x14ac:dyDescent="0.25">
      <c r="B887" t="s">
        <v>989</v>
      </c>
      <c r="C887" t="s">
        <v>990</v>
      </c>
      <c r="D887" t="str">
        <f>HYPERLINK("https://rhld.insurance.arkansas.gov/NPILookup?Npi=1225040447","1225040447")</f>
        <v>1225040447</v>
      </c>
      <c r="E887" t="s">
        <v>1023</v>
      </c>
      <c r="F887" t="s">
        <v>12</v>
      </c>
      <c r="G887" s="20">
        <v>1</v>
      </c>
      <c r="H887" t="s">
        <v>4338</v>
      </c>
      <c r="I887" t="s">
        <v>32</v>
      </c>
      <c r="J887" s="9"/>
      <c r="K887" s="9"/>
      <c r="L887" s="9"/>
    </row>
    <row r="888" spans="2:12" ht="15" x14ac:dyDescent="0.25">
      <c r="B888" t="s">
        <v>989</v>
      </c>
      <c r="C888" t="s">
        <v>990</v>
      </c>
      <c r="D888" t="str">
        <f>HYPERLINK("https://rhld.insurance.arkansas.gov/NPILookup?Npi=1225042377","1225042377")</f>
        <v>1225042377</v>
      </c>
      <c r="E888" t="s">
        <v>1024</v>
      </c>
      <c r="F888" t="s">
        <v>12</v>
      </c>
      <c r="G888" s="20">
        <v>1</v>
      </c>
      <c r="H888" t="s">
        <v>4338</v>
      </c>
      <c r="I888" t="s">
        <v>32</v>
      </c>
      <c r="J888" s="9"/>
      <c r="K888" s="9"/>
      <c r="L888" s="9"/>
    </row>
    <row r="889" spans="2:12" ht="15" x14ac:dyDescent="0.25">
      <c r="B889" t="s">
        <v>989</v>
      </c>
      <c r="C889" t="s">
        <v>990</v>
      </c>
      <c r="D889" t="str">
        <f>HYPERLINK("https://rhld.insurance.arkansas.gov/NPILookup?Npi=1225095094","1225095094")</f>
        <v>1225095094</v>
      </c>
      <c r="E889" t="s">
        <v>93</v>
      </c>
      <c r="F889" t="s">
        <v>12</v>
      </c>
      <c r="G889" s="20">
        <v>1</v>
      </c>
      <c r="H889" t="s">
        <v>4338</v>
      </c>
      <c r="I889" t="s">
        <v>32</v>
      </c>
      <c r="J889" s="9"/>
      <c r="K889" s="9"/>
      <c r="L889" s="9"/>
    </row>
    <row r="890" spans="2:12" ht="15" x14ac:dyDescent="0.25">
      <c r="B890" t="s">
        <v>989</v>
      </c>
      <c r="C890" t="s">
        <v>990</v>
      </c>
      <c r="D890" t="str">
        <f>HYPERLINK("https://rhld.insurance.arkansas.gov/NPILookup?Npi=1255330957","1255330957")</f>
        <v>1255330957</v>
      </c>
      <c r="E890" t="s">
        <v>95</v>
      </c>
      <c r="F890" t="s">
        <v>12</v>
      </c>
      <c r="G890" s="20">
        <v>1</v>
      </c>
      <c r="H890" t="s">
        <v>4338</v>
      </c>
      <c r="I890" t="s">
        <v>4357</v>
      </c>
      <c r="J890" s="9"/>
      <c r="K890" s="9"/>
      <c r="L890" s="9"/>
    </row>
    <row r="891" spans="2:12" ht="15" x14ac:dyDescent="0.25">
      <c r="B891" t="s">
        <v>989</v>
      </c>
      <c r="C891" t="s">
        <v>990</v>
      </c>
      <c r="D891" t="str">
        <f>HYPERLINK("https://rhld.insurance.arkansas.gov/NPILookup?Npi=1255446191","1255446191")</f>
        <v>1255446191</v>
      </c>
      <c r="E891" t="s">
        <v>1025</v>
      </c>
      <c r="F891" t="s">
        <v>12</v>
      </c>
      <c r="G891" s="20">
        <v>1</v>
      </c>
      <c r="H891" t="s">
        <v>4338</v>
      </c>
      <c r="I891" t="s">
        <v>32</v>
      </c>
      <c r="J891" s="9"/>
      <c r="K891" s="9"/>
      <c r="L891" s="9"/>
    </row>
    <row r="892" spans="2:12" ht="15" x14ac:dyDescent="0.25">
      <c r="B892" t="s">
        <v>989</v>
      </c>
      <c r="C892" t="s">
        <v>990</v>
      </c>
      <c r="D892" t="str">
        <f>HYPERLINK("https://rhld.insurance.arkansas.gov/NPILookup?Npi=1255621009","1255621009")</f>
        <v>1255621009</v>
      </c>
      <c r="E892" t="s">
        <v>1026</v>
      </c>
      <c r="F892" t="s">
        <v>12</v>
      </c>
      <c r="G892" s="20">
        <v>1</v>
      </c>
      <c r="H892" t="s">
        <v>4338</v>
      </c>
      <c r="I892" t="s">
        <v>32</v>
      </c>
      <c r="J892" s="9"/>
      <c r="K892" s="9"/>
      <c r="L892" s="9"/>
    </row>
    <row r="893" spans="2:12" ht="15" x14ac:dyDescent="0.25">
      <c r="B893" t="s">
        <v>989</v>
      </c>
      <c r="C893" t="s">
        <v>990</v>
      </c>
      <c r="D893" t="str">
        <f>HYPERLINK("https://rhld.insurance.arkansas.gov/NPILookup?Npi=1255690871","1255690871")</f>
        <v>1255690871</v>
      </c>
      <c r="E893" t="s">
        <v>1027</v>
      </c>
      <c r="F893" t="s">
        <v>12</v>
      </c>
      <c r="G893" s="20">
        <v>1</v>
      </c>
      <c r="H893" t="s">
        <v>4338</v>
      </c>
      <c r="I893" t="s">
        <v>32</v>
      </c>
      <c r="J893" s="9"/>
      <c r="K893" s="9"/>
      <c r="L893" s="9"/>
    </row>
    <row r="894" spans="2:12" ht="15" x14ac:dyDescent="0.25">
      <c r="B894" t="s">
        <v>989</v>
      </c>
      <c r="C894" t="s">
        <v>990</v>
      </c>
      <c r="D894" t="str">
        <f>HYPERLINK("https://rhld.insurance.arkansas.gov/NPILookup?Npi=1265437222","1265437222")</f>
        <v>1265437222</v>
      </c>
      <c r="E894" t="s">
        <v>1028</v>
      </c>
      <c r="F894" t="s">
        <v>12</v>
      </c>
      <c r="G894" s="20">
        <v>1</v>
      </c>
      <c r="H894" t="s">
        <v>4338</v>
      </c>
      <c r="I894" t="s">
        <v>32</v>
      </c>
      <c r="J894" s="9"/>
      <c r="K894" s="9"/>
      <c r="L894" s="9"/>
    </row>
    <row r="895" spans="2:12" ht="15" x14ac:dyDescent="0.25">
      <c r="B895" t="s">
        <v>989</v>
      </c>
      <c r="C895" t="s">
        <v>990</v>
      </c>
      <c r="D895" t="str">
        <f>HYPERLINK("https://rhld.insurance.arkansas.gov/NPILookup?Npi=1265690580","1265690580")</f>
        <v>1265690580</v>
      </c>
      <c r="E895" t="s">
        <v>1029</v>
      </c>
      <c r="F895" t="s">
        <v>12</v>
      </c>
      <c r="G895" s="20">
        <v>1</v>
      </c>
      <c r="H895" t="s">
        <v>4338</v>
      </c>
      <c r="I895" t="s">
        <v>32</v>
      </c>
      <c r="J895" s="9"/>
      <c r="K895" s="9"/>
      <c r="L895" s="9"/>
    </row>
    <row r="896" spans="2:12" ht="15" x14ac:dyDescent="0.25">
      <c r="B896" t="s">
        <v>989</v>
      </c>
      <c r="C896" t="s">
        <v>990</v>
      </c>
      <c r="D896" t="str">
        <f>HYPERLINK("https://rhld.insurance.arkansas.gov/NPILookup?Npi=1275586570","1275586570")</f>
        <v>1275586570</v>
      </c>
      <c r="E896" t="s">
        <v>1033</v>
      </c>
      <c r="F896" t="s">
        <v>13</v>
      </c>
      <c r="G896" s="20">
        <v>1</v>
      </c>
      <c r="H896" t="s">
        <v>87</v>
      </c>
      <c r="I896" t="s">
        <v>32</v>
      </c>
      <c r="J896" s="9"/>
      <c r="K896" s="9"/>
      <c r="L896" s="9"/>
    </row>
    <row r="897" spans="2:12" ht="15" x14ac:dyDescent="0.25">
      <c r="B897" t="s">
        <v>989</v>
      </c>
      <c r="C897" t="s">
        <v>990</v>
      </c>
      <c r="D897" t="str">
        <f>HYPERLINK("https://rhld.insurance.arkansas.gov/NPILookup?Npi=1275508897","1275508897")</f>
        <v>1275508897</v>
      </c>
      <c r="E897" t="s">
        <v>1031</v>
      </c>
      <c r="F897" t="s">
        <v>12</v>
      </c>
      <c r="G897" s="20">
        <v>1</v>
      </c>
      <c r="H897" t="s">
        <v>4338</v>
      </c>
      <c r="I897" t="s">
        <v>32</v>
      </c>
      <c r="J897" s="9"/>
      <c r="K897" s="9"/>
      <c r="L897" s="9"/>
    </row>
    <row r="898" spans="2:12" ht="15" x14ac:dyDescent="0.25">
      <c r="B898" t="s">
        <v>989</v>
      </c>
      <c r="C898" t="s">
        <v>990</v>
      </c>
      <c r="D898" t="str">
        <f>HYPERLINK("https://rhld.insurance.arkansas.gov/NPILookup?Npi=1275542581","1275542581")</f>
        <v>1275542581</v>
      </c>
      <c r="E898" t="s">
        <v>1032</v>
      </c>
      <c r="F898" t="s">
        <v>12</v>
      </c>
      <c r="G898" s="20">
        <v>1</v>
      </c>
      <c r="H898" t="s">
        <v>4338</v>
      </c>
      <c r="I898" t="s">
        <v>32</v>
      </c>
      <c r="J898" s="9"/>
      <c r="K898" s="9"/>
      <c r="L898" s="9"/>
    </row>
    <row r="899" spans="2:12" ht="15" x14ac:dyDescent="0.25">
      <c r="B899" t="s">
        <v>989</v>
      </c>
      <c r="C899" t="s">
        <v>990</v>
      </c>
      <c r="D899" t="str">
        <f>HYPERLINK("https://rhld.insurance.arkansas.gov/NPILookup?Npi=1306005905","1306005905")</f>
        <v>1306005905</v>
      </c>
      <c r="E899" t="s">
        <v>1036</v>
      </c>
      <c r="F899" t="s">
        <v>13</v>
      </c>
      <c r="G899" s="20">
        <v>1</v>
      </c>
      <c r="H899" t="s">
        <v>87</v>
      </c>
      <c r="I899" t="s">
        <v>4357</v>
      </c>
      <c r="J899" s="9"/>
      <c r="K899" s="9"/>
      <c r="L899" s="9"/>
    </row>
    <row r="900" spans="2:12" ht="15" x14ac:dyDescent="0.25">
      <c r="B900" t="s">
        <v>989</v>
      </c>
      <c r="C900" t="s">
        <v>990</v>
      </c>
      <c r="D900" t="str">
        <f>HYPERLINK("https://rhld.insurance.arkansas.gov/NPILookup?Npi=1295702934","1295702934")</f>
        <v>1295702934</v>
      </c>
      <c r="E900" t="s">
        <v>1034</v>
      </c>
      <c r="F900" t="s">
        <v>12</v>
      </c>
      <c r="G900" s="20">
        <v>1</v>
      </c>
      <c r="H900" t="s">
        <v>139</v>
      </c>
      <c r="I900" t="s">
        <v>4357</v>
      </c>
      <c r="J900" s="9"/>
      <c r="K900" s="9"/>
      <c r="L900" s="9"/>
    </row>
    <row r="901" spans="2:12" ht="15" x14ac:dyDescent="0.25">
      <c r="B901" t="s">
        <v>989</v>
      </c>
      <c r="C901" t="s">
        <v>990</v>
      </c>
      <c r="D901" t="str">
        <f>HYPERLINK("https://rhld.insurance.arkansas.gov/NPILookup?Npi=1295840510","1295840510")</f>
        <v>1295840510</v>
      </c>
      <c r="E901" t="s">
        <v>1035</v>
      </c>
      <c r="F901" t="s">
        <v>12</v>
      </c>
      <c r="G901" s="20">
        <v>1</v>
      </c>
      <c r="H901" t="s">
        <v>4338</v>
      </c>
      <c r="I901" t="s">
        <v>32</v>
      </c>
      <c r="J901" s="9"/>
      <c r="K901" s="9"/>
      <c r="L901" s="9"/>
    </row>
    <row r="902" spans="2:12" ht="15" x14ac:dyDescent="0.25">
      <c r="B902" t="s">
        <v>989</v>
      </c>
      <c r="C902" t="s">
        <v>990</v>
      </c>
      <c r="D902" t="str">
        <f>HYPERLINK("https://rhld.insurance.arkansas.gov/NPILookup?Npi=1346635117","1346635117")</f>
        <v>1346635117</v>
      </c>
      <c r="E902" t="s">
        <v>1041</v>
      </c>
      <c r="F902" t="s">
        <v>13</v>
      </c>
      <c r="G902" s="20">
        <v>1</v>
      </c>
      <c r="H902" t="s">
        <v>4357</v>
      </c>
      <c r="I902" t="s">
        <v>4357</v>
      </c>
      <c r="J902" s="9"/>
      <c r="K902" s="9"/>
      <c r="L902" s="9"/>
    </row>
    <row r="903" spans="2:12" ht="15" x14ac:dyDescent="0.25">
      <c r="B903" t="s">
        <v>989</v>
      </c>
      <c r="C903" t="s">
        <v>990</v>
      </c>
      <c r="D903" t="str">
        <f>HYPERLINK("https://rhld.insurance.arkansas.gov/NPILookup?Npi=1306937271","1306937271")</f>
        <v>1306937271</v>
      </c>
      <c r="E903" t="s">
        <v>1037</v>
      </c>
      <c r="F903" t="s">
        <v>12</v>
      </c>
      <c r="G903" s="20">
        <v>1</v>
      </c>
      <c r="H903" t="s">
        <v>139</v>
      </c>
      <c r="I903" t="s">
        <v>32</v>
      </c>
      <c r="J903" s="9"/>
      <c r="K903" s="9"/>
      <c r="L903" s="9"/>
    </row>
    <row r="904" spans="2:12" ht="15" x14ac:dyDescent="0.25">
      <c r="B904" t="s">
        <v>989</v>
      </c>
      <c r="C904" t="s">
        <v>990</v>
      </c>
      <c r="D904" t="str">
        <f>HYPERLINK("https://rhld.insurance.arkansas.gov/NPILookup?Npi=1316263866","1316263866")</f>
        <v>1316263866</v>
      </c>
      <c r="E904" t="s">
        <v>1038</v>
      </c>
      <c r="F904" t="s">
        <v>12</v>
      </c>
      <c r="G904" s="20">
        <v>1</v>
      </c>
      <c r="H904" t="s">
        <v>4338</v>
      </c>
      <c r="I904" t="s">
        <v>32</v>
      </c>
      <c r="J904" s="9"/>
      <c r="K904" s="9"/>
      <c r="L904" s="9"/>
    </row>
    <row r="905" spans="2:12" ht="15" x14ac:dyDescent="0.25">
      <c r="B905" t="s">
        <v>989</v>
      </c>
      <c r="C905" t="s">
        <v>990</v>
      </c>
      <c r="D905" t="str">
        <f>HYPERLINK("https://rhld.insurance.arkansas.gov/NPILookup?Npi=1316280563","1316280563")</f>
        <v>1316280563</v>
      </c>
      <c r="E905" t="s">
        <v>1039</v>
      </c>
      <c r="F905" t="s">
        <v>12</v>
      </c>
      <c r="G905" s="20">
        <v>1</v>
      </c>
      <c r="H905" t="s">
        <v>4338</v>
      </c>
      <c r="I905" t="s">
        <v>32</v>
      </c>
      <c r="J905" s="9"/>
      <c r="K905" s="9"/>
      <c r="L905" s="9"/>
    </row>
    <row r="906" spans="2:12" ht="15" x14ac:dyDescent="0.25">
      <c r="B906" t="s">
        <v>989</v>
      </c>
      <c r="C906" t="s">
        <v>990</v>
      </c>
      <c r="D906" t="str">
        <f>HYPERLINK("https://rhld.insurance.arkansas.gov/NPILookup?Npi=1336313170","1336313170")</f>
        <v>1336313170</v>
      </c>
      <c r="E906" t="s">
        <v>1040</v>
      </c>
      <c r="F906" t="s">
        <v>12</v>
      </c>
      <c r="G906" s="20">
        <v>1</v>
      </c>
      <c r="H906" t="s">
        <v>4338</v>
      </c>
      <c r="I906" t="s">
        <v>32</v>
      </c>
      <c r="J906" s="9"/>
      <c r="K906" s="9"/>
      <c r="L906" s="9"/>
    </row>
    <row r="907" spans="2:12" ht="15" x14ac:dyDescent="0.25">
      <c r="B907" t="s">
        <v>989</v>
      </c>
      <c r="C907" t="s">
        <v>990</v>
      </c>
      <c r="D907" t="str">
        <f>HYPERLINK("https://rhld.insurance.arkansas.gov/NPILookup?Npi=1346311404","1346311404")</f>
        <v>1346311404</v>
      </c>
      <c r="E907" t="s">
        <v>98</v>
      </c>
      <c r="F907" t="s">
        <v>12</v>
      </c>
      <c r="G907" s="20">
        <v>1</v>
      </c>
      <c r="H907" t="s">
        <v>4338</v>
      </c>
      <c r="I907" t="s">
        <v>32</v>
      </c>
      <c r="J907" s="9"/>
      <c r="K907" s="9"/>
      <c r="L907" s="9"/>
    </row>
    <row r="908" spans="2:12" ht="15" x14ac:dyDescent="0.25">
      <c r="B908" t="s">
        <v>989</v>
      </c>
      <c r="C908" t="s">
        <v>990</v>
      </c>
      <c r="D908" t="str">
        <f>HYPERLINK("https://rhld.insurance.arkansas.gov/NPILookup?Npi=1407141914","1407141914")</f>
        <v>1407141914</v>
      </c>
      <c r="E908" t="s">
        <v>1047</v>
      </c>
      <c r="F908" t="s">
        <v>13</v>
      </c>
      <c r="G908" s="20">
        <v>1</v>
      </c>
      <c r="H908" t="s">
        <v>87</v>
      </c>
      <c r="I908" t="s">
        <v>4357</v>
      </c>
      <c r="J908" s="9"/>
      <c r="K908" s="9"/>
      <c r="L908" s="9"/>
    </row>
    <row r="909" spans="2:12" ht="15" x14ac:dyDescent="0.25">
      <c r="B909" t="s">
        <v>989</v>
      </c>
      <c r="C909" t="s">
        <v>990</v>
      </c>
      <c r="D909" t="str">
        <f>HYPERLINK("https://rhld.insurance.arkansas.gov/NPILookup?Npi=1366470544","1366470544")</f>
        <v>1366470544</v>
      </c>
      <c r="E909" t="s">
        <v>1042</v>
      </c>
      <c r="F909" t="s">
        <v>12</v>
      </c>
      <c r="G909" s="20">
        <v>1</v>
      </c>
      <c r="H909" t="s">
        <v>4338</v>
      </c>
      <c r="I909" t="s">
        <v>32</v>
      </c>
      <c r="J909" s="9"/>
      <c r="K909" s="9"/>
      <c r="L909" s="9"/>
    </row>
    <row r="910" spans="2:12" ht="15" x14ac:dyDescent="0.25">
      <c r="B910" t="s">
        <v>989</v>
      </c>
      <c r="C910" t="s">
        <v>990</v>
      </c>
      <c r="D910" t="str">
        <f>HYPERLINK("https://rhld.insurance.arkansas.gov/NPILookup?Npi=1386872695","1386872695")</f>
        <v>1386872695</v>
      </c>
      <c r="E910" t="s">
        <v>1043</v>
      </c>
      <c r="F910" t="s">
        <v>12</v>
      </c>
      <c r="G910" s="20">
        <v>1</v>
      </c>
      <c r="H910" t="s">
        <v>4338</v>
      </c>
      <c r="I910" t="s">
        <v>32</v>
      </c>
      <c r="J910" s="9"/>
      <c r="K910" s="9"/>
      <c r="L910" s="9"/>
    </row>
    <row r="911" spans="2:12" ht="15" x14ac:dyDescent="0.25">
      <c r="B911" t="s">
        <v>989</v>
      </c>
      <c r="C911" t="s">
        <v>990</v>
      </c>
      <c r="D911" t="str">
        <f>HYPERLINK("https://rhld.insurance.arkansas.gov/NPILookup?Npi=1396722765","1396722765")</f>
        <v>1396722765</v>
      </c>
      <c r="E911" t="s">
        <v>1045</v>
      </c>
      <c r="F911" t="s">
        <v>12</v>
      </c>
      <c r="G911" s="20">
        <v>1</v>
      </c>
      <c r="H911" t="s">
        <v>4338</v>
      </c>
      <c r="I911" t="s">
        <v>32</v>
      </c>
      <c r="J911" s="9"/>
      <c r="K911" s="9"/>
      <c r="L911" s="9"/>
    </row>
    <row r="912" spans="2:12" ht="15" x14ac:dyDescent="0.25">
      <c r="B912" t="s">
        <v>989</v>
      </c>
      <c r="C912" t="s">
        <v>990</v>
      </c>
      <c r="D912" t="str">
        <f>HYPERLINK("https://rhld.insurance.arkansas.gov/NPILookup?Npi=1396963658","1396963658")</f>
        <v>1396963658</v>
      </c>
      <c r="E912" t="s">
        <v>1046</v>
      </c>
      <c r="F912" t="s">
        <v>12</v>
      </c>
      <c r="G912" s="20">
        <v>1</v>
      </c>
      <c r="H912" t="s">
        <v>4338</v>
      </c>
      <c r="I912" t="s">
        <v>32</v>
      </c>
      <c r="J912" s="9"/>
      <c r="K912" s="9"/>
      <c r="L912" s="9"/>
    </row>
    <row r="913" spans="2:12" ht="15" x14ac:dyDescent="0.25">
      <c r="B913" t="s">
        <v>989</v>
      </c>
      <c r="C913" t="s">
        <v>990</v>
      </c>
      <c r="D913" t="str">
        <f>HYPERLINK("https://rhld.insurance.arkansas.gov/NPILookup?Npi=1487848594","1487848594")</f>
        <v>1487848594</v>
      </c>
      <c r="E913" t="s">
        <v>1055</v>
      </c>
      <c r="F913" t="s">
        <v>13</v>
      </c>
      <c r="G913" s="20">
        <v>1</v>
      </c>
      <c r="H913" t="s">
        <v>87</v>
      </c>
      <c r="I913" t="s">
        <v>4357</v>
      </c>
      <c r="J913" s="9"/>
      <c r="K913" s="9"/>
      <c r="L913" s="9"/>
    </row>
    <row r="914" spans="2:12" ht="15" x14ac:dyDescent="0.25">
      <c r="B914" t="s">
        <v>989</v>
      </c>
      <c r="C914" t="s">
        <v>990</v>
      </c>
      <c r="D914" t="str">
        <f>HYPERLINK("https://rhld.insurance.arkansas.gov/NPILookup?Npi=1407812126","1407812126")</f>
        <v>1407812126</v>
      </c>
      <c r="E914" t="s">
        <v>1048</v>
      </c>
      <c r="F914" t="s">
        <v>12</v>
      </c>
      <c r="G914" s="20">
        <v>1</v>
      </c>
      <c r="H914" t="s">
        <v>4338</v>
      </c>
      <c r="I914" t="s">
        <v>32</v>
      </c>
      <c r="J914" s="9"/>
      <c r="K914" s="9"/>
      <c r="L914" s="9"/>
    </row>
    <row r="915" spans="2:12" ht="15" x14ac:dyDescent="0.25">
      <c r="B915" t="s">
        <v>989</v>
      </c>
      <c r="C915" t="s">
        <v>990</v>
      </c>
      <c r="D915" t="str">
        <f>HYPERLINK("https://rhld.insurance.arkansas.gov/NPILookup?Npi=1417453234","1417453234")</f>
        <v>1417453234</v>
      </c>
      <c r="E915" t="s">
        <v>1049</v>
      </c>
      <c r="F915" t="s">
        <v>12</v>
      </c>
      <c r="G915" s="20">
        <v>1</v>
      </c>
      <c r="H915" t="s">
        <v>4338</v>
      </c>
      <c r="I915" t="s">
        <v>4357</v>
      </c>
      <c r="J915" s="9"/>
      <c r="K915" s="9"/>
      <c r="L915" s="9"/>
    </row>
    <row r="916" spans="2:12" ht="15" x14ac:dyDescent="0.25">
      <c r="B916" t="s">
        <v>989</v>
      </c>
      <c r="C916" t="s">
        <v>990</v>
      </c>
      <c r="D916" t="str">
        <f>HYPERLINK("https://rhld.insurance.arkansas.gov/NPILookup?Npi=1447220264","1447220264")</f>
        <v>1447220264</v>
      </c>
      <c r="E916" t="s">
        <v>1050</v>
      </c>
      <c r="F916" t="s">
        <v>12</v>
      </c>
      <c r="G916" s="20">
        <v>1</v>
      </c>
      <c r="H916" t="s">
        <v>4338</v>
      </c>
      <c r="I916" t="s">
        <v>32</v>
      </c>
      <c r="J916" s="9"/>
      <c r="K916" s="9"/>
      <c r="L916" s="9"/>
    </row>
    <row r="917" spans="2:12" ht="15" x14ac:dyDescent="0.25">
      <c r="B917" t="s">
        <v>989</v>
      </c>
      <c r="C917" t="s">
        <v>990</v>
      </c>
      <c r="D917" t="str">
        <f>HYPERLINK("https://rhld.insurance.arkansas.gov/NPILookup?Npi=1447239702","1447239702")</f>
        <v>1447239702</v>
      </c>
      <c r="E917" t="s">
        <v>1051</v>
      </c>
      <c r="F917" t="s">
        <v>12</v>
      </c>
      <c r="G917" s="20">
        <v>1</v>
      </c>
      <c r="H917" t="s">
        <v>4338</v>
      </c>
      <c r="I917" t="s">
        <v>32</v>
      </c>
      <c r="J917" s="9"/>
      <c r="K917" s="9"/>
      <c r="L917" s="9"/>
    </row>
    <row r="918" spans="2:12" ht="15" x14ac:dyDescent="0.25">
      <c r="B918" t="s">
        <v>989</v>
      </c>
      <c r="C918" t="s">
        <v>990</v>
      </c>
      <c r="D918" t="str">
        <f>HYPERLINK("https://rhld.insurance.arkansas.gov/NPILookup?Npi=1447255229","1447255229")</f>
        <v>1447255229</v>
      </c>
      <c r="E918" t="s">
        <v>1052</v>
      </c>
      <c r="F918" t="s">
        <v>12</v>
      </c>
      <c r="G918" s="20">
        <v>1</v>
      </c>
      <c r="H918" t="s">
        <v>4338</v>
      </c>
      <c r="I918" t="s">
        <v>4357</v>
      </c>
      <c r="J918" s="9"/>
      <c r="K918" s="9"/>
      <c r="L918" s="9"/>
    </row>
    <row r="919" spans="2:12" ht="15" x14ac:dyDescent="0.25">
      <c r="B919" t="s">
        <v>989</v>
      </c>
      <c r="C919" t="s">
        <v>990</v>
      </c>
      <c r="D919" t="str">
        <f>HYPERLINK("https://rhld.insurance.arkansas.gov/NPILookup?Npi=1467891705","1467891705")</f>
        <v>1467891705</v>
      </c>
      <c r="E919" t="s">
        <v>1053</v>
      </c>
      <c r="F919" t="s">
        <v>12</v>
      </c>
      <c r="G919" s="20">
        <v>1</v>
      </c>
      <c r="H919" t="s">
        <v>4338</v>
      </c>
      <c r="I919" t="s">
        <v>32</v>
      </c>
      <c r="J919" s="9"/>
      <c r="K919" s="9"/>
      <c r="L919" s="9"/>
    </row>
    <row r="920" spans="2:12" ht="15" x14ac:dyDescent="0.25">
      <c r="B920" t="s">
        <v>989</v>
      </c>
      <c r="C920" t="s">
        <v>990</v>
      </c>
      <c r="D920" t="str">
        <f>HYPERLINK("https://rhld.insurance.arkansas.gov/NPILookup?Npi=1477513778","1477513778")</f>
        <v>1477513778</v>
      </c>
      <c r="E920" t="s">
        <v>1054</v>
      </c>
      <c r="F920" t="s">
        <v>12</v>
      </c>
      <c r="G920" s="20">
        <v>1</v>
      </c>
      <c r="H920" t="s">
        <v>4338</v>
      </c>
      <c r="I920" t="s">
        <v>32</v>
      </c>
      <c r="J920" s="9"/>
      <c r="K920" s="9"/>
      <c r="L920" s="9"/>
    </row>
    <row r="921" spans="2:12" ht="15" x14ac:dyDescent="0.25">
      <c r="B921" t="s">
        <v>989</v>
      </c>
      <c r="C921" t="s">
        <v>990</v>
      </c>
      <c r="D921" t="str">
        <f>HYPERLINK("https://rhld.insurance.arkansas.gov/NPILookup?Npi=1477558955","1477558955")</f>
        <v>1477558955</v>
      </c>
      <c r="E921" t="s">
        <v>109</v>
      </c>
      <c r="F921" t="s">
        <v>12</v>
      </c>
      <c r="G921" s="20">
        <v>1</v>
      </c>
      <c r="H921" t="s">
        <v>4338</v>
      </c>
      <c r="I921" t="s">
        <v>32</v>
      </c>
      <c r="J921" s="9"/>
      <c r="K921" s="9"/>
      <c r="L921" s="9"/>
    </row>
    <row r="922" spans="2:12" ht="15" x14ac:dyDescent="0.25">
      <c r="B922" t="s">
        <v>989</v>
      </c>
      <c r="C922" t="s">
        <v>990</v>
      </c>
      <c r="D922" t="str">
        <f>HYPERLINK("https://rhld.insurance.arkansas.gov/NPILookup?Npi=1487690186","1487690186")</f>
        <v>1487690186</v>
      </c>
      <c r="E922" t="s">
        <v>110</v>
      </c>
      <c r="F922" t="s">
        <v>12</v>
      </c>
      <c r="G922" s="20">
        <v>1</v>
      </c>
      <c r="H922" t="s">
        <v>4338</v>
      </c>
      <c r="I922" t="s">
        <v>32</v>
      </c>
      <c r="J922" s="9"/>
      <c r="K922" s="9"/>
      <c r="L922" s="9"/>
    </row>
    <row r="923" spans="2:12" ht="15" x14ac:dyDescent="0.25">
      <c r="B923" t="s">
        <v>989</v>
      </c>
      <c r="C923" t="s">
        <v>990</v>
      </c>
      <c r="D923" t="str">
        <f>HYPERLINK("https://rhld.insurance.arkansas.gov/NPILookup?Npi=1487814273","1487814273")</f>
        <v>1487814273</v>
      </c>
      <c r="E923" t="s">
        <v>111</v>
      </c>
      <c r="F923" t="s">
        <v>12</v>
      </c>
      <c r="G923" s="20">
        <v>1</v>
      </c>
      <c r="H923" t="s">
        <v>4338</v>
      </c>
      <c r="I923" t="s">
        <v>32</v>
      </c>
      <c r="J923" s="9"/>
      <c r="K923" s="9"/>
      <c r="L923" s="9"/>
    </row>
    <row r="924" spans="2:12" ht="15" x14ac:dyDescent="0.25">
      <c r="B924" t="s">
        <v>989</v>
      </c>
      <c r="C924" t="s">
        <v>990</v>
      </c>
      <c r="D924" t="str">
        <f>HYPERLINK("https://rhld.insurance.arkansas.gov/NPILookup?Npi=1518920693","1518920693")</f>
        <v>1518920693</v>
      </c>
      <c r="E924" t="s">
        <v>1058</v>
      </c>
      <c r="F924" t="s">
        <v>13</v>
      </c>
      <c r="G924" s="20">
        <v>1</v>
      </c>
      <c r="H924" t="s">
        <v>87</v>
      </c>
      <c r="I924" t="s">
        <v>32</v>
      </c>
      <c r="J924" s="9"/>
      <c r="K924" s="9"/>
      <c r="L924" s="9"/>
    </row>
    <row r="925" spans="2:12" ht="15" x14ac:dyDescent="0.25">
      <c r="B925" t="s">
        <v>989</v>
      </c>
      <c r="C925" t="s">
        <v>990</v>
      </c>
      <c r="D925" t="str">
        <f>HYPERLINK("https://rhld.insurance.arkansas.gov/NPILookup?Npi=1497725493","1497725493")</f>
        <v>1497725493</v>
      </c>
      <c r="E925" t="s">
        <v>1056</v>
      </c>
      <c r="F925" t="s">
        <v>12</v>
      </c>
      <c r="G925" s="20">
        <v>1</v>
      </c>
      <c r="H925" t="s">
        <v>4338</v>
      </c>
      <c r="I925" t="s">
        <v>32</v>
      </c>
      <c r="J925" s="9"/>
      <c r="K925" s="9"/>
      <c r="L925" s="9"/>
    </row>
    <row r="926" spans="2:12" ht="15" x14ac:dyDescent="0.25">
      <c r="B926" t="s">
        <v>989</v>
      </c>
      <c r="C926" t="s">
        <v>990</v>
      </c>
      <c r="D926" t="str">
        <f>HYPERLINK("https://rhld.insurance.arkansas.gov/NPILookup?Npi=1508956160","1508956160")</f>
        <v>1508956160</v>
      </c>
      <c r="E926" t="s">
        <v>75</v>
      </c>
      <c r="F926" t="s">
        <v>12</v>
      </c>
      <c r="G926" s="20">
        <v>1</v>
      </c>
      <c r="H926" t="s">
        <v>4338</v>
      </c>
      <c r="I926" t="s">
        <v>32</v>
      </c>
      <c r="J926" s="9"/>
      <c r="K926" s="9"/>
      <c r="L926" s="9"/>
    </row>
    <row r="927" spans="2:12" ht="15" x14ac:dyDescent="0.25">
      <c r="B927" t="s">
        <v>989</v>
      </c>
      <c r="C927" t="s">
        <v>990</v>
      </c>
      <c r="D927" t="str">
        <f>HYPERLINK("https://rhld.insurance.arkansas.gov/NPILookup?Npi=1518030535","1518030535")</f>
        <v>1518030535</v>
      </c>
      <c r="E927" t="s">
        <v>1057</v>
      </c>
      <c r="F927" t="s">
        <v>12</v>
      </c>
      <c r="G927" s="20">
        <v>1</v>
      </c>
      <c r="H927" t="s">
        <v>4338</v>
      </c>
      <c r="I927" t="s">
        <v>32</v>
      </c>
      <c r="J927" s="9"/>
      <c r="K927" s="9"/>
      <c r="L927" s="9"/>
    </row>
    <row r="928" spans="2:12" ht="15" x14ac:dyDescent="0.25">
      <c r="B928" t="s">
        <v>989</v>
      </c>
      <c r="C928" t="s">
        <v>990</v>
      </c>
      <c r="D928" t="str">
        <f>HYPERLINK("https://rhld.insurance.arkansas.gov/NPILookup?Npi=1578635025","1578635025")</f>
        <v>1578635025</v>
      </c>
      <c r="E928" t="s">
        <v>1061</v>
      </c>
      <c r="F928" t="s">
        <v>13</v>
      </c>
      <c r="G928" s="20">
        <v>1</v>
      </c>
      <c r="H928" t="s">
        <v>87</v>
      </c>
      <c r="I928" t="s">
        <v>4357</v>
      </c>
      <c r="J928" s="9"/>
      <c r="K928" s="9"/>
      <c r="L928" s="9"/>
    </row>
    <row r="929" spans="2:12" ht="15" x14ac:dyDescent="0.25">
      <c r="B929" t="s">
        <v>989</v>
      </c>
      <c r="C929" t="s">
        <v>990</v>
      </c>
      <c r="D929" t="str">
        <f>HYPERLINK("https://rhld.insurance.arkansas.gov/NPILookup?Npi=1528278322","1528278322")</f>
        <v>1528278322</v>
      </c>
      <c r="E929" t="s">
        <v>1059</v>
      </c>
      <c r="F929" t="s">
        <v>12</v>
      </c>
      <c r="G929" s="20">
        <v>1</v>
      </c>
      <c r="H929" t="s">
        <v>4338</v>
      </c>
      <c r="I929" t="s">
        <v>32</v>
      </c>
      <c r="J929" s="9"/>
      <c r="K929" s="9"/>
      <c r="L929" s="9"/>
    </row>
    <row r="930" spans="2:12" ht="15" x14ac:dyDescent="0.25">
      <c r="B930" t="s">
        <v>989</v>
      </c>
      <c r="C930" t="s">
        <v>990</v>
      </c>
      <c r="D930" t="str">
        <f>HYPERLINK("https://rhld.insurance.arkansas.gov/NPILookup?Npi=1528289808","1528289808")</f>
        <v>1528289808</v>
      </c>
      <c r="E930" t="s">
        <v>165</v>
      </c>
      <c r="F930" t="s">
        <v>12</v>
      </c>
      <c r="G930" s="20">
        <v>1</v>
      </c>
      <c r="H930" t="s">
        <v>4338</v>
      </c>
      <c r="I930" t="s">
        <v>4357</v>
      </c>
      <c r="J930" s="9"/>
      <c r="K930" s="9"/>
      <c r="L930" s="9"/>
    </row>
    <row r="931" spans="2:12" ht="15" x14ac:dyDescent="0.25">
      <c r="B931" t="s">
        <v>989</v>
      </c>
      <c r="C931" t="s">
        <v>990</v>
      </c>
      <c r="D931" t="str">
        <f>HYPERLINK("https://rhld.insurance.arkansas.gov/NPILookup?Npi=1538257894","1538257894")</f>
        <v>1538257894</v>
      </c>
      <c r="E931" t="s">
        <v>1060</v>
      </c>
      <c r="F931" t="s">
        <v>12</v>
      </c>
      <c r="G931" s="20">
        <v>1</v>
      </c>
      <c r="H931" t="s">
        <v>4338</v>
      </c>
      <c r="I931" t="s">
        <v>4357</v>
      </c>
      <c r="J931" s="9"/>
      <c r="K931" s="9"/>
      <c r="L931" s="9"/>
    </row>
    <row r="932" spans="2:12" ht="15" x14ac:dyDescent="0.25">
      <c r="B932" t="s">
        <v>989</v>
      </c>
      <c r="C932" t="s">
        <v>990</v>
      </c>
      <c r="D932" t="str">
        <f>HYPERLINK("https://rhld.insurance.arkansas.gov/NPILookup?Npi=1538363577","1538363577")</f>
        <v>1538363577</v>
      </c>
      <c r="E932" t="s">
        <v>681</v>
      </c>
      <c r="F932" t="s">
        <v>12</v>
      </c>
      <c r="G932" s="20">
        <v>1</v>
      </c>
      <c r="H932" t="s">
        <v>4338</v>
      </c>
      <c r="I932" t="s">
        <v>32</v>
      </c>
      <c r="J932" s="9"/>
      <c r="K932" s="9"/>
      <c r="L932" s="9"/>
    </row>
    <row r="933" spans="2:12" ht="15" x14ac:dyDescent="0.25">
      <c r="B933" t="s">
        <v>989</v>
      </c>
      <c r="C933" t="s">
        <v>990</v>
      </c>
      <c r="D933" t="str">
        <f>HYPERLINK("https://rhld.insurance.arkansas.gov/NPILookup?Npi=1578529970","1578529970")</f>
        <v>1578529970</v>
      </c>
      <c r="E933" t="s">
        <v>168</v>
      </c>
      <c r="F933" t="s">
        <v>12</v>
      </c>
      <c r="G933" s="20">
        <v>1</v>
      </c>
      <c r="H933" t="s">
        <v>4338</v>
      </c>
      <c r="I933" t="s">
        <v>32</v>
      </c>
      <c r="J933" s="9"/>
      <c r="K933" s="9"/>
      <c r="L933" s="9"/>
    </row>
    <row r="934" spans="2:12" ht="15" x14ac:dyDescent="0.25">
      <c r="B934" t="s">
        <v>989</v>
      </c>
      <c r="C934" t="s">
        <v>990</v>
      </c>
      <c r="D934" t="str">
        <f>HYPERLINK("https://rhld.insurance.arkansas.gov/NPILookup?Npi=1588898761","1588898761")</f>
        <v>1588898761</v>
      </c>
      <c r="E934" t="s">
        <v>1062</v>
      </c>
      <c r="F934" t="s">
        <v>13</v>
      </c>
      <c r="G934" s="20">
        <v>1</v>
      </c>
      <c r="H934" t="s">
        <v>87</v>
      </c>
      <c r="I934" t="s">
        <v>32</v>
      </c>
      <c r="J934" s="9"/>
      <c r="K934" s="9"/>
      <c r="L934" s="9"/>
    </row>
    <row r="935" spans="2:12" ht="15" x14ac:dyDescent="0.25">
      <c r="B935" t="s">
        <v>989</v>
      </c>
      <c r="C935" t="s">
        <v>990</v>
      </c>
      <c r="D935" t="str">
        <f>HYPERLINK("https://rhld.insurance.arkansas.gov/NPILookup?Npi=1649699620","1649699620")</f>
        <v>1649699620</v>
      </c>
      <c r="E935" t="s">
        <v>1067</v>
      </c>
      <c r="F935" t="s">
        <v>13</v>
      </c>
      <c r="G935" s="20">
        <v>1</v>
      </c>
      <c r="H935" t="s">
        <v>87</v>
      </c>
      <c r="I935" t="s">
        <v>32</v>
      </c>
      <c r="J935" s="9"/>
      <c r="K935" s="9"/>
      <c r="L935" s="9"/>
    </row>
    <row r="936" spans="2:12" ht="15" x14ac:dyDescent="0.25">
      <c r="B936" t="s">
        <v>989</v>
      </c>
      <c r="C936" t="s">
        <v>990</v>
      </c>
      <c r="D936" t="str">
        <f>HYPERLINK("https://rhld.insurance.arkansas.gov/NPILookup?Npi=1609211572","1609211572")</f>
        <v>1609211572</v>
      </c>
      <c r="E936" t="s">
        <v>1063</v>
      </c>
      <c r="F936" t="s">
        <v>12</v>
      </c>
      <c r="G936" s="20">
        <v>1</v>
      </c>
      <c r="H936" t="s">
        <v>4338</v>
      </c>
      <c r="I936" t="s">
        <v>32</v>
      </c>
      <c r="J936" s="9"/>
      <c r="K936" s="9"/>
      <c r="L936" s="9"/>
    </row>
    <row r="937" spans="2:12" ht="15" x14ac:dyDescent="0.25">
      <c r="B937" t="s">
        <v>989</v>
      </c>
      <c r="C937" t="s">
        <v>990</v>
      </c>
      <c r="D937" t="str">
        <f>HYPERLINK("https://rhld.insurance.arkansas.gov/NPILookup?Npi=1619234366","1619234366")</f>
        <v>1619234366</v>
      </c>
      <c r="E937" t="s">
        <v>1064</v>
      </c>
      <c r="F937" t="s">
        <v>12</v>
      </c>
      <c r="G937" s="20">
        <v>1</v>
      </c>
      <c r="H937" t="s">
        <v>4338</v>
      </c>
      <c r="I937" t="s">
        <v>32</v>
      </c>
      <c r="J937" s="9"/>
      <c r="K937" s="9"/>
      <c r="L937" s="9"/>
    </row>
    <row r="938" spans="2:12" ht="15" x14ac:dyDescent="0.25">
      <c r="B938" t="s">
        <v>989</v>
      </c>
      <c r="C938" t="s">
        <v>990</v>
      </c>
      <c r="D938" t="str">
        <f>HYPERLINK("https://rhld.insurance.arkansas.gov/NPILookup?Npi=1639530769","1639530769")</f>
        <v>1639530769</v>
      </c>
      <c r="E938" t="s">
        <v>1065</v>
      </c>
      <c r="F938" t="s">
        <v>12</v>
      </c>
      <c r="G938" s="20">
        <v>1</v>
      </c>
      <c r="H938" t="s">
        <v>4338</v>
      </c>
      <c r="I938" t="s">
        <v>4357</v>
      </c>
      <c r="J938" s="9"/>
      <c r="K938" s="9"/>
      <c r="L938" s="9"/>
    </row>
    <row r="939" spans="2:12" ht="15" x14ac:dyDescent="0.25">
      <c r="B939" t="s">
        <v>989</v>
      </c>
      <c r="C939" t="s">
        <v>990</v>
      </c>
      <c r="D939" t="str">
        <f>HYPERLINK("https://rhld.insurance.arkansas.gov/NPILookup?Npi=1649447806","1649447806")</f>
        <v>1649447806</v>
      </c>
      <c r="E939" t="s">
        <v>1066</v>
      </c>
      <c r="F939" t="s">
        <v>12</v>
      </c>
      <c r="G939" s="20">
        <v>1</v>
      </c>
      <c r="H939" t="s">
        <v>4338</v>
      </c>
      <c r="I939" t="s">
        <v>32</v>
      </c>
      <c r="J939" s="9"/>
      <c r="K939" s="9"/>
      <c r="L939" s="9"/>
    </row>
    <row r="940" spans="2:12" ht="15" x14ac:dyDescent="0.25">
      <c r="B940" t="s">
        <v>989</v>
      </c>
      <c r="C940" t="s">
        <v>990</v>
      </c>
      <c r="D940" t="str">
        <f>HYPERLINK("https://rhld.insurance.arkansas.gov/NPILookup?Npi=1679708960","1679708960")</f>
        <v>1679708960</v>
      </c>
      <c r="E940" t="s">
        <v>1070</v>
      </c>
      <c r="F940" t="s">
        <v>13</v>
      </c>
      <c r="G940" s="20">
        <v>1</v>
      </c>
      <c r="H940" t="s">
        <v>87</v>
      </c>
      <c r="I940" t="s">
        <v>4357</v>
      </c>
      <c r="J940" s="9"/>
      <c r="K940" s="9"/>
      <c r="L940" s="9"/>
    </row>
    <row r="941" spans="2:12" ht="15" x14ac:dyDescent="0.25">
      <c r="B941" t="s">
        <v>989</v>
      </c>
      <c r="C941" t="s">
        <v>990</v>
      </c>
      <c r="D941" t="str">
        <f>HYPERLINK("https://rhld.insurance.arkansas.gov/NPILookup?Npi=1669429049","1669429049")</f>
        <v>1669429049</v>
      </c>
      <c r="E941" t="s">
        <v>1069</v>
      </c>
      <c r="F941" t="s">
        <v>12</v>
      </c>
      <c r="G941" s="20">
        <v>1</v>
      </c>
      <c r="H941" t="s">
        <v>4338</v>
      </c>
      <c r="I941" t="s">
        <v>32</v>
      </c>
      <c r="J941" s="9"/>
      <c r="K941" s="9"/>
      <c r="L941" s="9"/>
    </row>
    <row r="942" spans="2:12" ht="15" x14ac:dyDescent="0.25">
      <c r="B942" t="s">
        <v>989</v>
      </c>
      <c r="C942" t="s">
        <v>990</v>
      </c>
      <c r="D942" t="str">
        <f>HYPERLINK("https://rhld.insurance.arkansas.gov/NPILookup?Npi=1669471157","1669471157")</f>
        <v>1669471157</v>
      </c>
      <c r="E942" t="s">
        <v>125</v>
      </c>
      <c r="F942" t="s">
        <v>12</v>
      </c>
      <c r="G942" s="20">
        <v>1</v>
      </c>
      <c r="H942" t="s">
        <v>4338</v>
      </c>
      <c r="I942" t="s">
        <v>32</v>
      </c>
      <c r="J942" s="9"/>
      <c r="K942" s="9"/>
      <c r="L942" s="9"/>
    </row>
    <row r="943" spans="2:12" ht="15" x14ac:dyDescent="0.25">
      <c r="B943" t="s">
        <v>989</v>
      </c>
      <c r="C943" t="s">
        <v>990</v>
      </c>
      <c r="D943" t="str">
        <f>HYPERLINK("https://rhld.insurance.arkansas.gov/NPILookup?Npi=1679991269","1679991269")</f>
        <v>1679991269</v>
      </c>
      <c r="E943" t="s">
        <v>1071</v>
      </c>
      <c r="F943" t="s">
        <v>13</v>
      </c>
      <c r="G943" s="20">
        <v>2</v>
      </c>
      <c r="H943" t="s">
        <v>439</v>
      </c>
      <c r="I943" t="s">
        <v>4357</v>
      </c>
      <c r="J943" s="9"/>
      <c r="K943" s="9"/>
      <c r="L943" s="9"/>
    </row>
    <row r="944" spans="2:12" ht="15" x14ac:dyDescent="0.25">
      <c r="B944" t="s">
        <v>989</v>
      </c>
      <c r="C944" t="s">
        <v>990</v>
      </c>
      <c r="D944" t="str">
        <f>HYPERLINK("https://rhld.insurance.arkansas.gov/NPILookup?Npi=1689662090","1689662090")</f>
        <v>1689662090</v>
      </c>
      <c r="E944" t="s">
        <v>1074</v>
      </c>
      <c r="F944" t="s">
        <v>13</v>
      </c>
      <c r="G944" s="20">
        <v>1</v>
      </c>
      <c r="H944" t="s">
        <v>87</v>
      </c>
      <c r="I944" t="s">
        <v>32</v>
      </c>
      <c r="J944" s="9"/>
      <c r="K944" s="9"/>
      <c r="L944" s="9"/>
    </row>
    <row r="945" spans="2:12" ht="15" x14ac:dyDescent="0.25">
      <c r="B945" t="s">
        <v>989</v>
      </c>
      <c r="C945" t="s">
        <v>990</v>
      </c>
      <c r="D945" t="str">
        <f>HYPERLINK("https://rhld.insurance.arkansas.gov/NPILookup?Npi=1689037186","1689037186")</f>
        <v>1689037186</v>
      </c>
      <c r="E945" t="s">
        <v>1072</v>
      </c>
      <c r="F945" t="s">
        <v>12</v>
      </c>
      <c r="G945" s="20">
        <v>1</v>
      </c>
      <c r="H945" t="s">
        <v>4338</v>
      </c>
      <c r="I945" t="s">
        <v>32</v>
      </c>
      <c r="J945" s="9"/>
      <c r="K945" s="9"/>
      <c r="L945" s="9"/>
    </row>
    <row r="946" spans="2:12" ht="15" x14ac:dyDescent="0.25">
      <c r="B946" t="s">
        <v>989</v>
      </c>
      <c r="C946" t="s">
        <v>990</v>
      </c>
      <c r="D946" t="str">
        <f>HYPERLINK("https://rhld.insurance.arkansas.gov/NPILookup?Npi=1689614828","1689614828")</f>
        <v>1689614828</v>
      </c>
      <c r="E946" t="s">
        <v>127</v>
      </c>
      <c r="F946" t="s">
        <v>12</v>
      </c>
      <c r="G946" s="20">
        <v>1</v>
      </c>
      <c r="H946" t="s">
        <v>4338</v>
      </c>
      <c r="I946" t="s">
        <v>32</v>
      </c>
      <c r="J946" s="9"/>
      <c r="K946" s="9"/>
      <c r="L946" s="9"/>
    </row>
    <row r="947" spans="2:12" ht="15" x14ac:dyDescent="0.25">
      <c r="B947" t="s">
        <v>989</v>
      </c>
      <c r="C947" t="s">
        <v>990</v>
      </c>
      <c r="D947" t="str">
        <f>HYPERLINK("https://rhld.insurance.arkansas.gov/NPILookup?Npi=1700849759","1700849759")</f>
        <v>1700849759</v>
      </c>
      <c r="E947" t="s">
        <v>1080</v>
      </c>
      <c r="F947" t="s">
        <v>13</v>
      </c>
      <c r="G947" s="20">
        <v>1</v>
      </c>
      <c r="H947" t="s">
        <v>4357</v>
      </c>
      <c r="I947" t="s">
        <v>4357</v>
      </c>
      <c r="J947" s="9"/>
      <c r="K947" s="9"/>
      <c r="L947" s="9"/>
    </row>
    <row r="948" spans="2:12" ht="15" x14ac:dyDescent="0.25">
      <c r="B948" t="s">
        <v>989</v>
      </c>
      <c r="C948" t="s">
        <v>990</v>
      </c>
      <c r="D948" t="str">
        <f>HYPERLINK("https://rhld.insurance.arkansas.gov/NPILookup?Npi=1689800872","1689800872")</f>
        <v>1689800872</v>
      </c>
      <c r="E948" t="s">
        <v>1075</v>
      </c>
      <c r="F948" t="s">
        <v>12</v>
      </c>
      <c r="G948" s="20">
        <v>1</v>
      </c>
      <c r="H948" t="s">
        <v>4338</v>
      </c>
      <c r="I948" t="s">
        <v>32</v>
      </c>
      <c r="J948" s="9"/>
      <c r="K948" s="9"/>
      <c r="L948" s="9"/>
    </row>
    <row r="949" spans="2:12" ht="15" x14ac:dyDescent="0.25">
      <c r="B949" t="s">
        <v>989</v>
      </c>
      <c r="C949" t="s">
        <v>990</v>
      </c>
      <c r="D949" t="str">
        <f>HYPERLINK("https://rhld.insurance.arkansas.gov/NPILookup?Npi=1689836652","1689836652")</f>
        <v>1689836652</v>
      </c>
      <c r="E949" t="s">
        <v>1076</v>
      </c>
      <c r="F949" t="s">
        <v>12</v>
      </c>
      <c r="G949" s="20">
        <v>1</v>
      </c>
      <c r="H949" t="s">
        <v>4338</v>
      </c>
      <c r="I949" t="s">
        <v>32</v>
      </c>
      <c r="J949" s="9"/>
      <c r="K949" s="9"/>
      <c r="L949" s="9"/>
    </row>
    <row r="950" spans="2:12" ht="15" x14ac:dyDescent="0.25">
      <c r="B950" t="s">
        <v>989</v>
      </c>
      <c r="C950" t="s">
        <v>990</v>
      </c>
      <c r="D950" t="str">
        <f>HYPERLINK("https://rhld.insurance.arkansas.gov/NPILookup?Npi=1699851436","1699851436")</f>
        <v>1699851436</v>
      </c>
      <c r="E950" t="s">
        <v>1077</v>
      </c>
      <c r="F950" t="s">
        <v>12</v>
      </c>
      <c r="G950" s="20">
        <v>1</v>
      </c>
      <c r="H950" t="s">
        <v>4338</v>
      </c>
      <c r="I950" t="s">
        <v>32</v>
      </c>
      <c r="J950" s="9"/>
      <c r="K950" s="9"/>
      <c r="L950" s="9"/>
    </row>
    <row r="951" spans="2:12" ht="15" x14ac:dyDescent="0.25">
      <c r="B951" t="s">
        <v>989</v>
      </c>
      <c r="C951" t="s">
        <v>990</v>
      </c>
      <c r="D951" t="str">
        <f>HYPERLINK("https://rhld.insurance.arkansas.gov/NPILookup?Npi=1700045689","1700045689")</f>
        <v>1700045689</v>
      </c>
      <c r="E951" t="s">
        <v>1078</v>
      </c>
      <c r="F951" t="s">
        <v>12</v>
      </c>
      <c r="G951" s="20">
        <v>1</v>
      </c>
      <c r="H951" t="s">
        <v>139</v>
      </c>
      <c r="I951" t="s">
        <v>4357</v>
      </c>
      <c r="J951" s="9"/>
      <c r="K951" s="9"/>
      <c r="L951" s="9"/>
    </row>
    <row r="952" spans="2:12" ht="15" x14ac:dyDescent="0.25">
      <c r="B952" t="s">
        <v>989</v>
      </c>
      <c r="C952" t="s">
        <v>990</v>
      </c>
      <c r="D952" t="str">
        <f>HYPERLINK("https://rhld.insurance.arkansas.gov/NPILookup?Npi=1700204997","1700204997")</f>
        <v>1700204997</v>
      </c>
      <c r="E952" t="s">
        <v>1079</v>
      </c>
      <c r="F952" t="s">
        <v>12</v>
      </c>
      <c r="G952" s="20">
        <v>1</v>
      </c>
      <c r="H952" t="s">
        <v>4338</v>
      </c>
      <c r="I952" t="s">
        <v>32</v>
      </c>
      <c r="J952" s="9"/>
      <c r="K952" s="9"/>
      <c r="L952" s="9"/>
    </row>
    <row r="953" spans="2:12" ht="15" x14ac:dyDescent="0.25">
      <c r="B953" t="s">
        <v>989</v>
      </c>
      <c r="C953" t="s">
        <v>990</v>
      </c>
      <c r="D953" t="str">
        <f>HYPERLINK("https://rhld.insurance.arkansas.gov/NPILookup?Npi=1710253117","1710253117")</f>
        <v>1710253117</v>
      </c>
      <c r="E953" t="s">
        <v>1082</v>
      </c>
      <c r="F953" t="s">
        <v>13</v>
      </c>
      <c r="G953" s="20">
        <v>1</v>
      </c>
      <c r="H953" t="s">
        <v>87</v>
      </c>
      <c r="I953" t="s">
        <v>4357</v>
      </c>
      <c r="J953" s="9"/>
      <c r="K953" s="9"/>
      <c r="L953" s="9"/>
    </row>
    <row r="954" spans="2:12" ht="15" x14ac:dyDescent="0.25">
      <c r="B954" t="s">
        <v>989</v>
      </c>
      <c r="C954" t="s">
        <v>990</v>
      </c>
      <c r="D954" t="str">
        <f>HYPERLINK("https://rhld.insurance.arkansas.gov/NPILookup?Npi=1700952462","1700952462")</f>
        <v>1700952462</v>
      </c>
      <c r="E954" t="s">
        <v>1081</v>
      </c>
      <c r="F954" t="s">
        <v>12</v>
      </c>
      <c r="G954" s="20">
        <v>1</v>
      </c>
      <c r="H954" t="s">
        <v>4338</v>
      </c>
      <c r="I954" t="s">
        <v>32</v>
      </c>
      <c r="J954" s="9"/>
      <c r="K954" s="9"/>
      <c r="L954" s="9"/>
    </row>
    <row r="955" spans="2:12" ht="15" x14ac:dyDescent="0.25">
      <c r="B955" t="s">
        <v>989</v>
      </c>
      <c r="C955" t="s">
        <v>990</v>
      </c>
      <c r="D955" t="str">
        <f>HYPERLINK("https://rhld.insurance.arkansas.gov/NPILookup?Npi=1801881958","1801881958")</f>
        <v>1801881958</v>
      </c>
      <c r="E955" t="s">
        <v>1089</v>
      </c>
      <c r="F955" t="s">
        <v>13</v>
      </c>
      <c r="G955" s="20">
        <v>1</v>
      </c>
      <c r="H955" t="s">
        <v>87</v>
      </c>
      <c r="I955" t="s">
        <v>32</v>
      </c>
      <c r="J955" s="9"/>
      <c r="K955" s="9"/>
      <c r="L955" s="9"/>
    </row>
    <row r="956" spans="2:12" ht="15" x14ac:dyDescent="0.25">
      <c r="B956" t="s">
        <v>989</v>
      </c>
      <c r="C956" t="s">
        <v>990</v>
      </c>
      <c r="D956" t="str">
        <f>HYPERLINK("https://rhld.insurance.arkansas.gov/NPILookup?Npi=1730322744","1730322744")</f>
        <v>1730322744</v>
      </c>
      <c r="E956" t="s">
        <v>1083</v>
      </c>
      <c r="F956" t="s">
        <v>12</v>
      </c>
      <c r="G956" s="20">
        <v>1</v>
      </c>
      <c r="H956" t="s">
        <v>4338</v>
      </c>
      <c r="I956" t="s">
        <v>32</v>
      </c>
      <c r="J956" s="9"/>
      <c r="K956" s="9"/>
      <c r="L956" s="9"/>
    </row>
    <row r="957" spans="2:12" ht="15" x14ac:dyDescent="0.25">
      <c r="B957" t="s">
        <v>989</v>
      </c>
      <c r="C957" t="s">
        <v>990</v>
      </c>
      <c r="D957" t="str">
        <f>HYPERLINK("https://rhld.insurance.arkansas.gov/NPILookup?Npi=1740496686","1740496686")</f>
        <v>1740496686</v>
      </c>
      <c r="E957" t="s">
        <v>1084</v>
      </c>
      <c r="F957" t="s">
        <v>12</v>
      </c>
      <c r="G957" s="20">
        <v>1</v>
      </c>
      <c r="H957" t="s">
        <v>4338</v>
      </c>
      <c r="I957" t="s">
        <v>32</v>
      </c>
      <c r="J957" s="9"/>
      <c r="K957" s="9"/>
      <c r="L957" s="9"/>
    </row>
    <row r="958" spans="2:12" ht="15" x14ac:dyDescent="0.25">
      <c r="B958" t="s">
        <v>989</v>
      </c>
      <c r="C958" t="s">
        <v>990</v>
      </c>
      <c r="D958" t="str">
        <f>HYPERLINK("https://rhld.insurance.arkansas.gov/NPILookup?Npi=1740619162","1740619162")</f>
        <v>1740619162</v>
      </c>
      <c r="E958" t="s">
        <v>1085</v>
      </c>
      <c r="F958" t="s">
        <v>12</v>
      </c>
      <c r="G958" s="20">
        <v>1</v>
      </c>
      <c r="H958" t="s">
        <v>4338</v>
      </c>
      <c r="I958" t="s">
        <v>32</v>
      </c>
      <c r="J958" s="9"/>
      <c r="K958" s="9"/>
      <c r="L958" s="9"/>
    </row>
    <row r="959" spans="2:12" ht="15" x14ac:dyDescent="0.25">
      <c r="B959" t="s">
        <v>989</v>
      </c>
      <c r="C959" t="s">
        <v>990</v>
      </c>
      <c r="D959" t="str">
        <f>HYPERLINK("https://rhld.insurance.arkansas.gov/NPILookup?Npi=1750356614","1750356614")</f>
        <v>1750356614</v>
      </c>
      <c r="E959" t="s">
        <v>175</v>
      </c>
      <c r="F959" t="s">
        <v>12</v>
      </c>
      <c r="G959" s="20">
        <v>1</v>
      </c>
      <c r="H959" t="s">
        <v>4338</v>
      </c>
      <c r="I959" t="s">
        <v>32</v>
      </c>
      <c r="J959" s="9"/>
      <c r="K959" s="9"/>
      <c r="L959" s="9"/>
    </row>
    <row r="960" spans="2:12" ht="15" x14ac:dyDescent="0.25">
      <c r="B960" t="s">
        <v>989</v>
      </c>
      <c r="C960" t="s">
        <v>990</v>
      </c>
      <c r="D960" t="str">
        <f>HYPERLINK("https://rhld.insurance.arkansas.gov/NPILookup?Npi=1760472021","1760472021")</f>
        <v>1760472021</v>
      </c>
      <c r="E960" t="s">
        <v>819</v>
      </c>
      <c r="F960" t="s">
        <v>12</v>
      </c>
      <c r="G960" s="20">
        <v>1</v>
      </c>
      <c r="H960" t="s">
        <v>4338</v>
      </c>
      <c r="I960" t="s">
        <v>32</v>
      </c>
      <c r="J960" s="9"/>
      <c r="K960" s="9"/>
      <c r="L960" s="9"/>
    </row>
    <row r="961" spans="2:12" ht="15" x14ac:dyDescent="0.25">
      <c r="B961" t="s">
        <v>989</v>
      </c>
      <c r="C961" t="s">
        <v>990</v>
      </c>
      <c r="D961" t="str">
        <f>HYPERLINK("https://rhld.insurance.arkansas.gov/NPILookup?Npi=1760491989","1760491989")</f>
        <v>1760491989</v>
      </c>
      <c r="E961" t="s">
        <v>130</v>
      </c>
      <c r="F961" t="s">
        <v>12</v>
      </c>
      <c r="G961" s="20">
        <v>1</v>
      </c>
      <c r="H961" t="s">
        <v>4338</v>
      </c>
      <c r="I961" t="s">
        <v>32</v>
      </c>
      <c r="J961" s="9"/>
      <c r="K961" s="9"/>
      <c r="L961" s="9"/>
    </row>
    <row r="962" spans="2:12" ht="15" x14ac:dyDescent="0.25">
      <c r="B962" t="s">
        <v>989</v>
      </c>
      <c r="C962" t="s">
        <v>990</v>
      </c>
      <c r="D962" t="str">
        <f>HYPERLINK("https://rhld.insurance.arkansas.gov/NPILookup?Npi=1760697783","1760697783")</f>
        <v>1760697783</v>
      </c>
      <c r="E962" t="s">
        <v>1086</v>
      </c>
      <c r="F962" t="s">
        <v>12</v>
      </c>
      <c r="G962" s="20">
        <v>1</v>
      </c>
      <c r="H962" t="s">
        <v>4338</v>
      </c>
      <c r="I962" t="s">
        <v>32</v>
      </c>
      <c r="J962" s="9"/>
      <c r="K962" s="9"/>
      <c r="L962" s="9"/>
    </row>
    <row r="963" spans="2:12" ht="15" x14ac:dyDescent="0.25">
      <c r="B963" t="s">
        <v>989</v>
      </c>
      <c r="C963" t="s">
        <v>990</v>
      </c>
      <c r="D963" t="str">
        <f>HYPERLINK("https://rhld.insurance.arkansas.gov/NPILookup?Npi=1801009089","1801009089")</f>
        <v>1801009089</v>
      </c>
      <c r="E963" t="s">
        <v>1087</v>
      </c>
      <c r="F963" t="s">
        <v>12</v>
      </c>
      <c r="G963" s="20">
        <v>1</v>
      </c>
      <c r="H963" t="s">
        <v>4338</v>
      </c>
      <c r="I963" t="s">
        <v>4357</v>
      </c>
      <c r="J963" s="9"/>
      <c r="K963" s="9"/>
      <c r="L963" s="9"/>
    </row>
    <row r="964" spans="2:12" ht="15" x14ac:dyDescent="0.25">
      <c r="B964" t="s">
        <v>989</v>
      </c>
      <c r="C964" t="s">
        <v>990</v>
      </c>
      <c r="D964" t="str">
        <f>HYPERLINK("https://rhld.insurance.arkansas.gov/NPILookup?Npi=1801811237","1801811237")</f>
        <v>1801811237</v>
      </c>
      <c r="E964" t="s">
        <v>1088</v>
      </c>
      <c r="F964" t="s">
        <v>12</v>
      </c>
      <c r="G964" s="20">
        <v>1</v>
      </c>
      <c r="H964" t="s">
        <v>4338</v>
      </c>
      <c r="I964" t="s">
        <v>4357</v>
      </c>
      <c r="J964" s="9"/>
      <c r="K964" s="9"/>
      <c r="L964" s="9"/>
    </row>
    <row r="965" spans="2:12" ht="15" x14ac:dyDescent="0.25">
      <c r="B965" t="s">
        <v>989</v>
      </c>
      <c r="C965" t="s">
        <v>990</v>
      </c>
      <c r="D965" t="str">
        <f>HYPERLINK("https://rhld.insurance.arkansas.gov/NPILookup?Npi=1821356601","1821356601")</f>
        <v>1821356601</v>
      </c>
      <c r="E965" t="s">
        <v>1091</v>
      </c>
      <c r="F965" t="s">
        <v>13</v>
      </c>
      <c r="G965" s="20">
        <v>1</v>
      </c>
      <c r="H965" t="s">
        <v>87</v>
      </c>
      <c r="I965" t="s">
        <v>32</v>
      </c>
      <c r="J965" s="9"/>
      <c r="K965" s="9"/>
      <c r="L965" s="9"/>
    </row>
    <row r="966" spans="2:12" ht="15" x14ac:dyDescent="0.25">
      <c r="B966" t="s">
        <v>989</v>
      </c>
      <c r="C966" t="s">
        <v>990</v>
      </c>
      <c r="D966" t="str">
        <f>HYPERLINK("https://rhld.insurance.arkansas.gov/NPILookup?Npi=1821050683","1821050683")</f>
        <v>1821050683</v>
      </c>
      <c r="E966" t="s">
        <v>1090</v>
      </c>
      <c r="F966" t="s">
        <v>12</v>
      </c>
      <c r="G966" s="20">
        <v>1</v>
      </c>
      <c r="H966" t="s">
        <v>4338</v>
      </c>
      <c r="I966" t="s">
        <v>32</v>
      </c>
      <c r="J966" s="9"/>
      <c r="K966" s="9"/>
      <c r="L966" s="9"/>
    </row>
    <row r="967" spans="2:12" ht="15" x14ac:dyDescent="0.25">
      <c r="B967" t="s">
        <v>989</v>
      </c>
      <c r="C967" t="s">
        <v>990</v>
      </c>
      <c r="D967" t="str">
        <f>HYPERLINK("https://rhld.insurance.arkansas.gov/NPILookup?Npi=1831218817","1831218817")</f>
        <v>1831218817</v>
      </c>
      <c r="E967" t="s">
        <v>1094</v>
      </c>
      <c r="F967" t="s">
        <v>13</v>
      </c>
      <c r="G967" s="20">
        <v>1</v>
      </c>
      <c r="H967" t="s">
        <v>87</v>
      </c>
      <c r="I967" t="s">
        <v>4357</v>
      </c>
      <c r="J967" s="9"/>
      <c r="K967" s="9"/>
      <c r="L967" s="9"/>
    </row>
    <row r="968" spans="2:12" ht="15" x14ac:dyDescent="0.25">
      <c r="B968" t="s">
        <v>989</v>
      </c>
      <c r="C968" t="s">
        <v>990</v>
      </c>
      <c r="D968" t="str">
        <f>HYPERLINK("https://rhld.insurance.arkansas.gov/NPILookup?Npi=1831125459","1831125459")</f>
        <v>1831125459</v>
      </c>
      <c r="E968" t="s">
        <v>1092</v>
      </c>
      <c r="F968" t="s">
        <v>12</v>
      </c>
      <c r="G968" s="20">
        <v>1</v>
      </c>
      <c r="H968" t="s">
        <v>4338</v>
      </c>
      <c r="I968" t="s">
        <v>32</v>
      </c>
      <c r="J968" s="9"/>
      <c r="K968" s="9"/>
      <c r="L968" s="9"/>
    </row>
    <row r="969" spans="2:12" ht="15" x14ac:dyDescent="0.25">
      <c r="B969" t="s">
        <v>989</v>
      </c>
      <c r="C969" t="s">
        <v>990</v>
      </c>
      <c r="D969" t="str">
        <f>HYPERLINK("https://rhld.insurance.arkansas.gov/NPILookup?Npi=1831168913","1831168913")</f>
        <v>1831168913</v>
      </c>
      <c r="E969" t="s">
        <v>1093</v>
      </c>
      <c r="F969" t="s">
        <v>12</v>
      </c>
      <c r="G969" s="20">
        <v>1</v>
      </c>
      <c r="H969" t="s">
        <v>4338</v>
      </c>
      <c r="I969" t="s">
        <v>32</v>
      </c>
      <c r="J969" s="9"/>
      <c r="K969" s="9"/>
      <c r="L969" s="9"/>
    </row>
    <row r="970" spans="2:12" ht="15" x14ac:dyDescent="0.25">
      <c r="B970" t="s">
        <v>989</v>
      </c>
      <c r="C970" t="s">
        <v>990</v>
      </c>
      <c r="D970" t="str">
        <f>HYPERLINK("https://rhld.insurance.arkansas.gov/NPILookup?Npi=1841279866","1841279866")</f>
        <v>1841279866</v>
      </c>
      <c r="E970" t="s">
        <v>1097</v>
      </c>
      <c r="F970" t="s">
        <v>13</v>
      </c>
      <c r="G970" s="20">
        <v>1</v>
      </c>
      <c r="H970" t="s">
        <v>87</v>
      </c>
      <c r="I970" t="s">
        <v>32</v>
      </c>
      <c r="J970" s="9"/>
      <c r="K970" s="9"/>
      <c r="L970" s="9"/>
    </row>
    <row r="971" spans="2:12" ht="15" x14ac:dyDescent="0.25">
      <c r="B971" t="s">
        <v>989</v>
      </c>
      <c r="C971" t="s">
        <v>990</v>
      </c>
      <c r="D971" t="str">
        <f>HYPERLINK("https://rhld.insurance.arkansas.gov/NPILookup?Npi=1831400621","1831400621")</f>
        <v>1831400621</v>
      </c>
      <c r="E971" t="s">
        <v>1095</v>
      </c>
      <c r="F971" t="s">
        <v>12</v>
      </c>
      <c r="G971" s="20">
        <v>1</v>
      </c>
      <c r="H971" t="s">
        <v>4338</v>
      </c>
      <c r="I971" t="s">
        <v>32</v>
      </c>
      <c r="J971" s="9"/>
      <c r="K971" s="9"/>
      <c r="L971" s="9"/>
    </row>
    <row r="972" spans="2:12" ht="15" x14ac:dyDescent="0.25">
      <c r="B972" t="s">
        <v>989</v>
      </c>
      <c r="C972" t="s">
        <v>990</v>
      </c>
      <c r="D972" t="str">
        <f>HYPERLINK("https://rhld.insurance.arkansas.gov/NPILookup?Npi=1831577873","1831577873")</f>
        <v>1831577873</v>
      </c>
      <c r="E972" t="s">
        <v>1096</v>
      </c>
      <c r="F972" t="s">
        <v>12</v>
      </c>
      <c r="G972" s="20">
        <v>1</v>
      </c>
      <c r="H972" t="s">
        <v>4338</v>
      </c>
      <c r="I972" t="s">
        <v>32</v>
      </c>
      <c r="J972" s="9"/>
      <c r="K972" s="9"/>
      <c r="L972" s="9"/>
    </row>
    <row r="973" spans="2:12" ht="15" x14ac:dyDescent="0.25">
      <c r="B973" t="s">
        <v>989</v>
      </c>
      <c r="C973" t="s">
        <v>990</v>
      </c>
      <c r="D973" t="str">
        <f>HYPERLINK("https://rhld.insurance.arkansas.gov/NPILookup?Npi=1861608192","1861608192")</f>
        <v>1861608192</v>
      </c>
      <c r="E973" t="s">
        <v>1098</v>
      </c>
      <c r="F973" t="s">
        <v>13</v>
      </c>
      <c r="G973" s="20">
        <v>1</v>
      </c>
      <c r="H973" t="s">
        <v>87</v>
      </c>
      <c r="I973" t="s">
        <v>4357</v>
      </c>
      <c r="J973" s="9"/>
      <c r="K973" s="9"/>
      <c r="L973" s="9"/>
    </row>
    <row r="974" spans="2:12" ht="15" x14ac:dyDescent="0.25">
      <c r="B974" t="s">
        <v>989</v>
      </c>
      <c r="C974" t="s">
        <v>990</v>
      </c>
      <c r="D974" t="str">
        <f>HYPERLINK("https://rhld.insurance.arkansas.gov/NPILookup?Npi=1861440430","1861440430")</f>
        <v>1861440430</v>
      </c>
      <c r="E974" t="s">
        <v>177</v>
      </c>
      <c r="F974" t="s">
        <v>12</v>
      </c>
      <c r="G974" s="20">
        <v>1</v>
      </c>
      <c r="H974" t="s">
        <v>4338</v>
      </c>
      <c r="I974" t="s">
        <v>32</v>
      </c>
      <c r="J974" s="9"/>
      <c r="K974" s="9"/>
      <c r="L974" s="9"/>
    </row>
    <row r="975" spans="2:12" ht="15" x14ac:dyDescent="0.25">
      <c r="B975" t="s">
        <v>989</v>
      </c>
      <c r="C975" t="s">
        <v>990</v>
      </c>
      <c r="D975" t="str">
        <f>HYPERLINK("https://rhld.insurance.arkansas.gov/NPILookup?Npi=1992765853","1992765853")</f>
        <v>1992765853</v>
      </c>
      <c r="E975" t="s">
        <v>1108</v>
      </c>
      <c r="F975" t="s">
        <v>13</v>
      </c>
      <c r="G975" s="20">
        <v>1</v>
      </c>
      <c r="H975" t="s">
        <v>87</v>
      </c>
      <c r="I975" t="s">
        <v>32</v>
      </c>
      <c r="J975" s="9"/>
      <c r="K975" s="9"/>
      <c r="L975" s="9"/>
    </row>
    <row r="976" spans="2:12" ht="15" x14ac:dyDescent="0.25">
      <c r="B976" t="s">
        <v>989</v>
      </c>
      <c r="C976" t="s">
        <v>990</v>
      </c>
      <c r="D976" t="str">
        <f>HYPERLINK("https://rhld.insurance.arkansas.gov/NPILookup?Npi=1861697815","1861697815")</f>
        <v>1861697815</v>
      </c>
      <c r="E976" t="s">
        <v>1099</v>
      </c>
      <c r="F976" t="s">
        <v>12</v>
      </c>
      <c r="G976" s="20">
        <v>1</v>
      </c>
      <c r="H976" t="s">
        <v>1100</v>
      </c>
      <c r="I976" t="s">
        <v>32</v>
      </c>
      <c r="J976" s="9"/>
      <c r="K976" s="9"/>
      <c r="L976" s="9"/>
    </row>
    <row r="977" spans="2:12" ht="15" x14ac:dyDescent="0.25">
      <c r="B977" t="s">
        <v>989</v>
      </c>
      <c r="C977" t="s">
        <v>990</v>
      </c>
      <c r="D977" t="str">
        <f>HYPERLINK("https://rhld.insurance.arkansas.gov/NPILookup?Npi=1902982754","1902982754")</f>
        <v>1902982754</v>
      </c>
      <c r="E977" t="s">
        <v>179</v>
      </c>
      <c r="F977" t="s">
        <v>12</v>
      </c>
      <c r="G977" s="20">
        <v>1</v>
      </c>
      <c r="H977" t="s">
        <v>4338</v>
      </c>
      <c r="I977" t="s">
        <v>32</v>
      </c>
      <c r="J977" s="9"/>
      <c r="K977" s="9"/>
      <c r="L977" s="9"/>
    </row>
    <row r="978" spans="2:12" ht="15" x14ac:dyDescent="0.25">
      <c r="B978" t="s">
        <v>989</v>
      </c>
      <c r="C978" t="s">
        <v>990</v>
      </c>
      <c r="D978" t="str">
        <f>HYPERLINK("https://rhld.insurance.arkansas.gov/NPILookup?Npi=1912299967","1912299967")</f>
        <v>1912299967</v>
      </c>
      <c r="E978" t="s">
        <v>1101</v>
      </c>
      <c r="F978" t="s">
        <v>12</v>
      </c>
      <c r="G978" s="20">
        <v>1</v>
      </c>
      <c r="H978" t="s">
        <v>4338</v>
      </c>
      <c r="I978" t="s">
        <v>4357</v>
      </c>
      <c r="J978" s="9"/>
      <c r="K978" s="9"/>
      <c r="L978" s="9"/>
    </row>
    <row r="979" spans="2:12" ht="15" x14ac:dyDescent="0.25">
      <c r="B979" t="s">
        <v>989</v>
      </c>
      <c r="C979" t="s">
        <v>990</v>
      </c>
      <c r="D979" t="str">
        <f>HYPERLINK("https://rhld.insurance.arkansas.gov/NPILookup?Npi=1912904251","1912904251")</f>
        <v>1912904251</v>
      </c>
      <c r="E979" t="s">
        <v>1102</v>
      </c>
      <c r="F979" t="s">
        <v>12</v>
      </c>
      <c r="G979" s="20">
        <v>1</v>
      </c>
      <c r="H979" t="s">
        <v>4338</v>
      </c>
      <c r="I979" t="s">
        <v>32</v>
      </c>
      <c r="J979" s="9"/>
      <c r="K979" s="9"/>
      <c r="L979" s="9"/>
    </row>
    <row r="980" spans="2:12" ht="15" x14ac:dyDescent="0.25">
      <c r="B980" t="s">
        <v>989</v>
      </c>
      <c r="C980" t="s">
        <v>990</v>
      </c>
      <c r="D980" t="str">
        <f>HYPERLINK("https://rhld.insurance.arkansas.gov/NPILookup?Npi=1922311315","1922311315")</f>
        <v>1922311315</v>
      </c>
      <c r="E980" t="s">
        <v>1103</v>
      </c>
      <c r="F980" t="s">
        <v>12</v>
      </c>
      <c r="G980" s="20">
        <v>1</v>
      </c>
      <c r="H980" t="s">
        <v>4338</v>
      </c>
      <c r="I980" t="s">
        <v>32</v>
      </c>
      <c r="J980" s="9"/>
      <c r="K980" s="9"/>
      <c r="L980" s="9"/>
    </row>
    <row r="981" spans="2:12" ht="15" x14ac:dyDescent="0.25">
      <c r="B981" t="s">
        <v>989</v>
      </c>
      <c r="C981" t="s">
        <v>990</v>
      </c>
      <c r="D981" t="str">
        <f>HYPERLINK("https://rhld.insurance.arkansas.gov/NPILookup?Npi=1942447149","1942447149")</f>
        <v>1942447149</v>
      </c>
      <c r="E981" t="s">
        <v>1104</v>
      </c>
      <c r="F981" t="s">
        <v>12</v>
      </c>
      <c r="G981" s="20">
        <v>1</v>
      </c>
      <c r="H981" t="s">
        <v>4338</v>
      </c>
      <c r="I981" t="s">
        <v>32</v>
      </c>
      <c r="J981" s="9"/>
      <c r="K981" s="9"/>
      <c r="L981" s="9"/>
    </row>
    <row r="982" spans="2:12" ht="15" x14ac:dyDescent="0.25">
      <c r="B982" t="s">
        <v>989</v>
      </c>
      <c r="C982" t="s">
        <v>990</v>
      </c>
      <c r="D982" t="str">
        <f>HYPERLINK("https://rhld.insurance.arkansas.gov/NPILookup?Npi=1952319477","1952319477")</f>
        <v>1952319477</v>
      </c>
      <c r="E982" t="s">
        <v>1105</v>
      </c>
      <c r="F982" t="s">
        <v>12</v>
      </c>
      <c r="G982" s="20">
        <v>1</v>
      </c>
      <c r="H982" t="s">
        <v>4338</v>
      </c>
      <c r="I982" t="s">
        <v>32</v>
      </c>
      <c r="J982" s="9"/>
      <c r="K982" s="9"/>
      <c r="L982" s="9"/>
    </row>
    <row r="983" spans="2:12" ht="15" x14ac:dyDescent="0.25">
      <c r="B983" t="s">
        <v>989</v>
      </c>
      <c r="C983" t="s">
        <v>990</v>
      </c>
      <c r="D983" t="str">
        <f>HYPERLINK("https://rhld.insurance.arkansas.gov/NPILookup?Npi=1952361818","1952361818")</f>
        <v>1952361818</v>
      </c>
      <c r="E983" t="s">
        <v>182</v>
      </c>
      <c r="F983" t="s">
        <v>12</v>
      </c>
      <c r="G983" s="20">
        <v>1</v>
      </c>
      <c r="H983" t="s">
        <v>4338</v>
      </c>
      <c r="I983" t="s">
        <v>32</v>
      </c>
      <c r="J983" s="9"/>
      <c r="K983" s="9"/>
      <c r="L983" s="9"/>
    </row>
    <row r="984" spans="2:12" ht="15" x14ac:dyDescent="0.25">
      <c r="B984" t="s">
        <v>989</v>
      </c>
      <c r="C984" t="s">
        <v>990</v>
      </c>
      <c r="D984" t="str">
        <f>HYPERLINK("https://rhld.insurance.arkansas.gov/NPILookup?Npi=1952555666","1952555666")</f>
        <v>1952555666</v>
      </c>
      <c r="E984" t="s">
        <v>344</v>
      </c>
      <c r="F984" t="s">
        <v>12</v>
      </c>
      <c r="G984" s="20">
        <v>1</v>
      </c>
      <c r="H984" t="s">
        <v>4338</v>
      </c>
      <c r="I984" t="s">
        <v>32</v>
      </c>
      <c r="J984" s="9"/>
      <c r="K984" s="9"/>
      <c r="L984" s="9"/>
    </row>
    <row r="985" spans="2:12" ht="15" x14ac:dyDescent="0.25">
      <c r="B985" t="s">
        <v>989</v>
      </c>
      <c r="C985" t="s">
        <v>990</v>
      </c>
      <c r="D985" t="str">
        <f>HYPERLINK("https://rhld.insurance.arkansas.gov/NPILookup?Npi=1972764496","1972764496")</f>
        <v>1972764496</v>
      </c>
      <c r="E985" t="s">
        <v>1106</v>
      </c>
      <c r="F985" t="s">
        <v>12</v>
      </c>
      <c r="G985" s="20">
        <v>1</v>
      </c>
      <c r="H985" t="s">
        <v>4338</v>
      </c>
      <c r="I985" t="s">
        <v>32</v>
      </c>
      <c r="J985" s="9"/>
      <c r="K985" s="23"/>
      <c r="L985" s="9"/>
    </row>
    <row r="986" spans="2:12" ht="15" x14ac:dyDescent="0.25">
      <c r="B986" t="s">
        <v>989</v>
      </c>
      <c r="C986" t="s">
        <v>990</v>
      </c>
      <c r="D986" t="str">
        <f>HYPERLINK("https://rhld.insurance.arkansas.gov/NPILookup?Npi=1982704516","1982704516")</f>
        <v>1982704516</v>
      </c>
      <c r="E986" t="s">
        <v>1107</v>
      </c>
      <c r="F986" t="s">
        <v>12</v>
      </c>
      <c r="G986" s="20">
        <v>1</v>
      </c>
      <c r="H986" t="s">
        <v>4338</v>
      </c>
      <c r="I986" t="s">
        <v>32</v>
      </c>
      <c r="J986" s="9"/>
      <c r="K986" s="9"/>
      <c r="L986" s="9"/>
    </row>
    <row r="987" spans="2:12" ht="15" x14ac:dyDescent="0.25">
      <c r="B987" t="s">
        <v>989</v>
      </c>
      <c r="C987" t="s">
        <v>990</v>
      </c>
      <c r="D987" t="str">
        <f>HYPERLINK("https://rhld.insurance.arkansas.gov/NPILookup?Npi=1992735922","1992735922")</f>
        <v>1992735922</v>
      </c>
      <c r="E987" t="s">
        <v>145</v>
      </c>
      <c r="F987" t="s">
        <v>12</v>
      </c>
      <c r="G987" s="20">
        <v>1</v>
      </c>
      <c r="H987" t="s">
        <v>4338</v>
      </c>
      <c r="I987" t="s">
        <v>32</v>
      </c>
      <c r="J987" s="9"/>
      <c r="K987" s="23"/>
      <c r="L987" s="9"/>
    </row>
    <row r="988" spans="2:12" ht="15" x14ac:dyDescent="0.25">
      <c r="B988" t="s">
        <v>1165</v>
      </c>
      <c r="C988" t="s">
        <v>1166</v>
      </c>
      <c r="D988" t="str">
        <f>HYPERLINK("https://rhld.insurance.arkansas.gov/NPILookup?Npi=1104172378","1104172378")</f>
        <v>1104172378</v>
      </c>
      <c r="E988" t="s">
        <v>1169</v>
      </c>
      <c r="F988" t="s">
        <v>13</v>
      </c>
      <c r="G988" s="20">
        <v>1</v>
      </c>
      <c r="H988" t="s">
        <v>4357</v>
      </c>
      <c r="I988" t="s">
        <v>4357</v>
      </c>
      <c r="J988" s="9"/>
      <c r="K988" s="23"/>
      <c r="L988" s="9"/>
    </row>
    <row r="989" spans="2:12" ht="15" x14ac:dyDescent="0.25">
      <c r="B989" t="s">
        <v>1109</v>
      </c>
      <c r="C989" s="21" t="s">
        <v>1110</v>
      </c>
      <c r="D989" s="21" t="str">
        <f>HYPERLINK("https://rhld.insurance.arkansas.gov/NPILookup?Npi=1023026739","1023026739")</f>
        <v>1023026739</v>
      </c>
      <c r="E989" s="21" t="s">
        <v>1111</v>
      </c>
      <c r="F989" s="21" t="s">
        <v>12</v>
      </c>
      <c r="G989" s="22">
        <v>1</v>
      </c>
      <c r="H989" s="21" t="s">
        <v>141</v>
      </c>
      <c r="I989" s="21" t="s">
        <v>32</v>
      </c>
      <c r="J989" s="9"/>
      <c r="K989" s="9"/>
      <c r="L989" s="9"/>
    </row>
    <row r="990" spans="2:12" ht="15" x14ac:dyDescent="0.25">
      <c r="B990" t="s">
        <v>1109</v>
      </c>
      <c r="C990" t="s">
        <v>1110</v>
      </c>
      <c r="D990" t="str">
        <f>HYPERLINK("https://rhld.insurance.arkansas.gov/NPILookup?Npi=1093772055","1093772055")</f>
        <v>1093772055</v>
      </c>
      <c r="E990" t="s">
        <v>1114</v>
      </c>
      <c r="F990" t="s">
        <v>13</v>
      </c>
      <c r="G990" s="20">
        <v>1</v>
      </c>
      <c r="H990" t="s">
        <v>87</v>
      </c>
      <c r="I990" t="s">
        <v>32</v>
      </c>
      <c r="J990" s="9"/>
      <c r="K990" s="9"/>
      <c r="L990" s="9"/>
    </row>
    <row r="991" spans="2:12" ht="15" x14ac:dyDescent="0.25">
      <c r="B991" t="s">
        <v>1109</v>
      </c>
      <c r="C991" s="21" t="s">
        <v>1110</v>
      </c>
      <c r="D991" s="21" t="str">
        <f>HYPERLINK("https://rhld.insurance.arkansas.gov/NPILookup?Npi=1114330420","1114330420")</f>
        <v>1114330420</v>
      </c>
      <c r="E991" s="21" t="s">
        <v>1115</v>
      </c>
      <c r="F991" s="21" t="s">
        <v>12</v>
      </c>
      <c r="G991" s="22">
        <v>1</v>
      </c>
      <c r="H991" s="21" t="s">
        <v>4338</v>
      </c>
      <c r="I991" s="21" t="s">
        <v>32</v>
      </c>
      <c r="J991" s="9"/>
      <c r="K991" s="23"/>
      <c r="L991" s="9"/>
    </row>
    <row r="992" spans="2:12" ht="15" x14ac:dyDescent="0.25">
      <c r="B992" t="s">
        <v>1109</v>
      </c>
      <c r="C992" s="21" t="s">
        <v>1110</v>
      </c>
      <c r="D992" s="21" t="str">
        <f>HYPERLINK("https://rhld.insurance.arkansas.gov/NPILookup?Npi=1134685209","1134685209")</f>
        <v>1134685209</v>
      </c>
      <c r="E992" s="21" t="s">
        <v>1116</v>
      </c>
      <c r="F992" s="21" t="s">
        <v>12</v>
      </c>
      <c r="G992" s="22">
        <v>1</v>
      </c>
      <c r="H992" s="21" t="s">
        <v>4338</v>
      </c>
      <c r="I992" s="21" t="s">
        <v>32</v>
      </c>
      <c r="J992" s="9"/>
      <c r="K992" s="23"/>
      <c r="L992" s="9"/>
    </row>
    <row r="993" spans="2:12" ht="15" x14ac:dyDescent="0.25">
      <c r="B993" t="s">
        <v>1109</v>
      </c>
      <c r="C993" t="s">
        <v>1110</v>
      </c>
      <c r="D993" t="str">
        <f>HYPERLINK("https://rhld.insurance.arkansas.gov/NPILookup?Npi=1144288127","1144288127")</f>
        <v>1144288127</v>
      </c>
      <c r="E993" t="s">
        <v>1117</v>
      </c>
      <c r="F993" t="s">
        <v>13</v>
      </c>
      <c r="G993" s="20">
        <v>1</v>
      </c>
      <c r="H993" t="s">
        <v>4357</v>
      </c>
      <c r="I993" t="s">
        <v>4357</v>
      </c>
      <c r="J993" s="9"/>
      <c r="K993" s="9"/>
      <c r="L993" s="9"/>
    </row>
    <row r="994" spans="2:12" ht="15" x14ac:dyDescent="0.25">
      <c r="B994" t="s">
        <v>1109</v>
      </c>
      <c r="C994" t="s">
        <v>1110</v>
      </c>
      <c r="D994" t="str">
        <f>HYPERLINK("https://rhld.insurance.arkansas.gov/NPILookup?Npi=1194423327","1194423327")</f>
        <v>1194423327</v>
      </c>
      <c r="E994" t="s">
        <v>1118</v>
      </c>
      <c r="F994" t="s">
        <v>13</v>
      </c>
      <c r="G994" s="20">
        <v>1</v>
      </c>
      <c r="H994" t="s">
        <v>4357</v>
      </c>
      <c r="I994" t="s">
        <v>4357</v>
      </c>
      <c r="J994" s="9"/>
      <c r="K994" s="23"/>
      <c r="L994" s="9"/>
    </row>
    <row r="995" spans="2:12" ht="15" x14ac:dyDescent="0.25">
      <c r="B995" t="s">
        <v>1109</v>
      </c>
      <c r="C995" s="21" t="s">
        <v>1110</v>
      </c>
      <c r="D995" s="21" t="str">
        <f>HYPERLINK("https://rhld.insurance.arkansas.gov/NPILookup?Npi=1194938381","1194938381")</f>
        <v>1194938381</v>
      </c>
      <c r="E995" s="21" t="s">
        <v>1119</v>
      </c>
      <c r="F995" s="21" t="s">
        <v>12</v>
      </c>
      <c r="G995" s="22">
        <v>1</v>
      </c>
      <c r="H995" s="21" t="s">
        <v>4338</v>
      </c>
      <c r="I995" s="21" t="s">
        <v>32</v>
      </c>
      <c r="J995" s="9"/>
      <c r="K995" s="23"/>
      <c r="L995" s="9"/>
    </row>
    <row r="996" spans="2:12" ht="15" x14ac:dyDescent="0.25">
      <c r="B996" t="s">
        <v>1109</v>
      </c>
      <c r="C996" s="21" t="s">
        <v>1110</v>
      </c>
      <c r="D996" s="21" t="str">
        <f>HYPERLINK("https://rhld.insurance.arkansas.gov/NPILookup?Npi=1235189069","1235189069")</f>
        <v>1235189069</v>
      </c>
      <c r="E996" s="21" t="s">
        <v>1120</v>
      </c>
      <c r="F996" s="21" t="s">
        <v>12</v>
      </c>
      <c r="G996" s="22">
        <v>1</v>
      </c>
      <c r="H996" s="21" t="s">
        <v>4338</v>
      </c>
      <c r="I996" s="21" t="s">
        <v>32</v>
      </c>
      <c r="J996" s="9"/>
      <c r="K996" s="9"/>
      <c r="L996" s="9"/>
    </row>
    <row r="997" spans="2:12" ht="15" x14ac:dyDescent="0.25">
      <c r="B997" t="s">
        <v>1109</v>
      </c>
      <c r="C997" t="s">
        <v>1110</v>
      </c>
      <c r="D997" t="str">
        <f>HYPERLINK("https://rhld.insurance.arkansas.gov/NPILookup?Npi=1275774887","1275774887")</f>
        <v>1275774887</v>
      </c>
      <c r="E997" t="s">
        <v>1122</v>
      </c>
      <c r="F997" t="s">
        <v>13</v>
      </c>
      <c r="G997" s="20">
        <v>1</v>
      </c>
      <c r="H997" t="s">
        <v>87</v>
      </c>
      <c r="I997" t="s">
        <v>4357</v>
      </c>
      <c r="J997" s="9"/>
      <c r="K997" s="9"/>
      <c r="L997" s="9"/>
    </row>
    <row r="998" spans="2:12" ht="15" x14ac:dyDescent="0.25">
      <c r="B998" t="s">
        <v>1109</v>
      </c>
      <c r="C998" s="21" t="s">
        <v>1110</v>
      </c>
      <c r="D998" s="21" t="str">
        <f>HYPERLINK("https://rhld.insurance.arkansas.gov/NPILookup?Npi=1295143980","1295143980")</f>
        <v>1295143980</v>
      </c>
      <c r="E998" s="21" t="s">
        <v>1123</v>
      </c>
      <c r="F998" s="21" t="s">
        <v>12</v>
      </c>
      <c r="G998" s="22">
        <v>1</v>
      </c>
      <c r="H998" s="21" t="s">
        <v>4338</v>
      </c>
      <c r="I998" s="21" t="s">
        <v>32</v>
      </c>
      <c r="J998" s="9"/>
      <c r="K998" s="9"/>
      <c r="L998" s="9"/>
    </row>
    <row r="999" spans="2:12" ht="15" x14ac:dyDescent="0.25">
      <c r="B999" t="s">
        <v>1109</v>
      </c>
      <c r="C999" s="21" t="s">
        <v>1110</v>
      </c>
      <c r="D999" s="21" t="str">
        <f>HYPERLINK("https://rhld.insurance.arkansas.gov/NPILookup?Npi=1306009204","1306009204")</f>
        <v>1306009204</v>
      </c>
      <c r="E999" s="21" t="s">
        <v>1124</v>
      </c>
      <c r="F999" s="21" t="s">
        <v>12</v>
      </c>
      <c r="G999" s="22">
        <v>1</v>
      </c>
      <c r="H999" s="21" t="s">
        <v>4338</v>
      </c>
      <c r="I999" s="21" t="s">
        <v>32</v>
      </c>
      <c r="J999" s="9"/>
      <c r="K999" s="23"/>
      <c r="L999" s="9"/>
    </row>
    <row r="1000" spans="2:12" ht="15" x14ac:dyDescent="0.25">
      <c r="B1000" t="s">
        <v>1109</v>
      </c>
      <c r="C1000" t="s">
        <v>1110</v>
      </c>
      <c r="D1000" t="str">
        <f>HYPERLINK("https://rhld.insurance.arkansas.gov/NPILookup?Npi=1306936893","1306936893")</f>
        <v>1306936893</v>
      </c>
      <c r="E1000" t="s">
        <v>1125</v>
      </c>
      <c r="F1000" t="s">
        <v>13</v>
      </c>
      <c r="G1000" s="20">
        <v>1</v>
      </c>
      <c r="H1000" t="s">
        <v>87</v>
      </c>
      <c r="I1000" t="s">
        <v>4357</v>
      </c>
      <c r="J1000" s="9"/>
      <c r="K1000" s="9"/>
      <c r="L1000" s="9"/>
    </row>
    <row r="1001" spans="2:12" ht="15" x14ac:dyDescent="0.25">
      <c r="B1001" t="s">
        <v>1109</v>
      </c>
      <c r="C1001" t="s">
        <v>1110</v>
      </c>
      <c r="D1001" t="str">
        <f>HYPERLINK("https://rhld.insurance.arkansas.gov/NPILookup?Npi=1316321078","1316321078")</f>
        <v>1316321078</v>
      </c>
      <c r="E1001" t="s">
        <v>1126</v>
      </c>
      <c r="F1001" t="s">
        <v>13</v>
      </c>
      <c r="G1001" s="20">
        <v>1</v>
      </c>
      <c r="H1001" t="s">
        <v>4357</v>
      </c>
      <c r="I1001" t="s">
        <v>4357</v>
      </c>
      <c r="J1001" s="9"/>
      <c r="K1001" s="9"/>
      <c r="L1001" s="9"/>
    </row>
    <row r="1002" spans="2:12" ht="15" x14ac:dyDescent="0.25">
      <c r="B1002" t="s">
        <v>1109</v>
      </c>
      <c r="C1002" t="s">
        <v>1110</v>
      </c>
      <c r="D1002" t="str">
        <f>HYPERLINK("https://rhld.insurance.arkansas.gov/NPILookup?Npi=1386725042","1386725042")</f>
        <v>1386725042</v>
      </c>
      <c r="E1002" t="s">
        <v>1128</v>
      </c>
      <c r="F1002" t="s">
        <v>13</v>
      </c>
      <c r="G1002" s="20">
        <v>1</v>
      </c>
      <c r="H1002" t="s">
        <v>87</v>
      </c>
      <c r="I1002" t="s">
        <v>32</v>
      </c>
      <c r="J1002" s="9"/>
      <c r="K1002" s="9"/>
      <c r="L1002" s="9"/>
    </row>
    <row r="1003" spans="2:12" ht="15" x14ac:dyDescent="0.25">
      <c r="B1003" t="s">
        <v>1109</v>
      </c>
      <c r="C1003" s="21" t="s">
        <v>1110</v>
      </c>
      <c r="D1003" s="21" t="str">
        <f>HYPERLINK("https://rhld.insurance.arkansas.gov/NPILookup?Npi=1417589144","1417589144")</f>
        <v>1417589144</v>
      </c>
      <c r="E1003" s="21" t="s">
        <v>1129</v>
      </c>
      <c r="F1003" s="21" t="s">
        <v>12</v>
      </c>
      <c r="G1003" s="22">
        <v>1</v>
      </c>
      <c r="H1003" s="21" t="s">
        <v>4338</v>
      </c>
      <c r="I1003" s="21" t="s">
        <v>4357</v>
      </c>
      <c r="J1003" s="9"/>
      <c r="K1003" s="9"/>
      <c r="L1003" s="9"/>
    </row>
    <row r="1004" spans="2:12" ht="15" x14ac:dyDescent="0.25">
      <c r="B1004" t="s">
        <v>1109</v>
      </c>
      <c r="C1004" t="s">
        <v>1110</v>
      </c>
      <c r="D1004" t="str">
        <f>HYPERLINK("https://rhld.insurance.arkansas.gov/NPILookup?Npi=1427311935","1427311935")</f>
        <v>1427311935</v>
      </c>
      <c r="E1004" t="s">
        <v>1130</v>
      </c>
      <c r="F1004" t="s">
        <v>13</v>
      </c>
      <c r="G1004" s="20">
        <v>1</v>
      </c>
      <c r="H1004" t="s">
        <v>4357</v>
      </c>
      <c r="I1004" t="s">
        <v>4357</v>
      </c>
      <c r="J1004" s="9"/>
      <c r="K1004" s="9"/>
      <c r="L1004" s="9"/>
    </row>
    <row r="1005" spans="2:12" ht="15" x14ac:dyDescent="0.25">
      <c r="B1005" t="s">
        <v>1109</v>
      </c>
      <c r="C1005" t="s">
        <v>1110</v>
      </c>
      <c r="D1005" t="str">
        <f>HYPERLINK("https://rhld.insurance.arkansas.gov/NPILookup?Npi=1447230461","1447230461")</f>
        <v>1447230461</v>
      </c>
      <c r="E1005" t="s">
        <v>1131</v>
      </c>
      <c r="F1005" t="s">
        <v>13</v>
      </c>
      <c r="G1005" s="20">
        <v>1</v>
      </c>
      <c r="H1005" t="s">
        <v>4357</v>
      </c>
      <c r="I1005" t="s">
        <v>4357</v>
      </c>
      <c r="J1005" s="9"/>
      <c r="K1005" s="23"/>
      <c r="L1005" s="9"/>
    </row>
    <row r="1006" spans="2:12" ht="15" x14ac:dyDescent="0.25">
      <c r="B1006" t="s">
        <v>1109</v>
      </c>
      <c r="C1006" t="s">
        <v>1110</v>
      </c>
      <c r="D1006" t="str">
        <f>HYPERLINK("https://rhld.insurance.arkansas.gov/NPILookup?Npi=1467455808","1467455808")</f>
        <v>1467455808</v>
      </c>
      <c r="E1006" t="s">
        <v>1132</v>
      </c>
      <c r="F1006" t="s">
        <v>13</v>
      </c>
      <c r="G1006" s="20">
        <v>1</v>
      </c>
      <c r="H1006" t="s">
        <v>4357</v>
      </c>
      <c r="I1006" t="s">
        <v>4357</v>
      </c>
      <c r="J1006" s="9"/>
      <c r="K1006" s="9"/>
      <c r="L1006" s="9"/>
    </row>
    <row r="1007" spans="2:12" ht="15" x14ac:dyDescent="0.25">
      <c r="B1007" t="s">
        <v>1109</v>
      </c>
      <c r="C1007" t="s">
        <v>1110</v>
      </c>
      <c r="D1007" t="str">
        <f>HYPERLINK("https://rhld.insurance.arkansas.gov/NPILookup?Npi=1487233177","1487233177")</f>
        <v>1487233177</v>
      </c>
      <c r="E1007" t="s">
        <v>1133</v>
      </c>
      <c r="F1007" t="s">
        <v>13</v>
      </c>
      <c r="G1007" s="20">
        <v>1</v>
      </c>
      <c r="H1007" t="s">
        <v>4357</v>
      </c>
      <c r="I1007" t="s">
        <v>4357</v>
      </c>
      <c r="J1007" s="9"/>
      <c r="K1007" s="9"/>
      <c r="L1007" s="9"/>
    </row>
    <row r="1008" spans="2:12" ht="15" x14ac:dyDescent="0.25">
      <c r="B1008" t="s">
        <v>1109</v>
      </c>
      <c r="C1008" t="s">
        <v>1110</v>
      </c>
      <c r="D1008" t="str">
        <f>HYPERLINK("https://rhld.insurance.arkansas.gov/NPILookup?Npi=1508477563","1508477563")</f>
        <v>1508477563</v>
      </c>
      <c r="E1008" t="s">
        <v>1134</v>
      </c>
      <c r="F1008" t="s">
        <v>13</v>
      </c>
      <c r="G1008" s="20">
        <v>1</v>
      </c>
      <c r="H1008" t="s">
        <v>87</v>
      </c>
      <c r="I1008" t="s">
        <v>4357</v>
      </c>
      <c r="J1008" s="9"/>
      <c r="K1008" s="23"/>
      <c r="L1008" s="9"/>
    </row>
    <row r="1009" spans="2:12" ht="15" x14ac:dyDescent="0.25">
      <c r="B1009" t="s">
        <v>1109</v>
      </c>
      <c r="C1009" s="21" t="s">
        <v>1110</v>
      </c>
      <c r="D1009" s="21" t="str">
        <f>HYPERLINK("https://rhld.insurance.arkansas.gov/NPILookup?Npi=1548727100","1548727100")</f>
        <v>1548727100</v>
      </c>
      <c r="E1009" s="21" t="s">
        <v>1135</v>
      </c>
      <c r="F1009" s="21" t="s">
        <v>12</v>
      </c>
      <c r="G1009" s="22">
        <v>1</v>
      </c>
      <c r="H1009" s="21" t="s">
        <v>4338</v>
      </c>
      <c r="I1009" s="21" t="s">
        <v>32</v>
      </c>
      <c r="J1009" s="9"/>
      <c r="K1009" s="9"/>
      <c r="L1009" s="9"/>
    </row>
    <row r="1010" spans="2:12" ht="15" x14ac:dyDescent="0.25">
      <c r="B1010" t="s">
        <v>1109</v>
      </c>
      <c r="C1010" t="s">
        <v>1110</v>
      </c>
      <c r="D1010" t="str">
        <f>HYPERLINK("https://rhld.insurance.arkansas.gov/NPILookup?Npi=1619966371","1619966371")</f>
        <v>1619966371</v>
      </c>
      <c r="E1010" t="s">
        <v>1136</v>
      </c>
      <c r="F1010" t="s">
        <v>13</v>
      </c>
      <c r="G1010" s="20">
        <v>1</v>
      </c>
      <c r="H1010" t="s">
        <v>87</v>
      </c>
      <c r="I1010" t="s">
        <v>4357</v>
      </c>
      <c r="J1010" s="9"/>
      <c r="K1010" s="9"/>
      <c r="L1010" s="9"/>
    </row>
    <row r="1011" spans="2:12" ht="15" x14ac:dyDescent="0.25">
      <c r="B1011" t="s">
        <v>1109</v>
      </c>
      <c r="C1011" t="s">
        <v>1110</v>
      </c>
      <c r="D1011" t="str">
        <f>HYPERLINK("https://rhld.insurance.arkansas.gov/NPILookup?Npi=1629008388","1629008388")</f>
        <v>1629008388</v>
      </c>
      <c r="E1011" t="s">
        <v>1137</v>
      </c>
      <c r="F1011" t="s">
        <v>13</v>
      </c>
      <c r="G1011" s="20">
        <v>1</v>
      </c>
      <c r="H1011" t="s">
        <v>4357</v>
      </c>
      <c r="I1011" t="s">
        <v>4357</v>
      </c>
      <c r="J1011" s="9"/>
      <c r="K1011" s="23"/>
      <c r="L1011" s="9"/>
    </row>
    <row r="1012" spans="2:12" ht="15" x14ac:dyDescent="0.25">
      <c r="B1012" t="s">
        <v>1109</v>
      </c>
      <c r="C1012" s="21" t="s">
        <v>1110</v>
      </c>
      <c r="D1012" s="21" t="str">
        <f>HYPERLINK("https://rhld.insurance.arkansas.gov/NPILookup?Npi=1669731741","1669731741")</f>
        <v>1669731741</v>
      </c>
      <c r="E1012" s="21" t="s">
        <v>1138</v>
      </c>
      <c r="F1012" s="21" t="s">
        <v>12</v>
      </c>
      <c r="G1012" s="22">
        <v>1</v>
      </c>
      <c r="H1012" s="21" t="s">
        <v>4338</v>
      </c>
      <c r="I1012" s="21" t="s">
        <v>32</v>
      </c>
      <c r="J1012" s="9"/>
      <c r="K1012" s="9"/>
      <c r="L1012" s="9"/>
    </row>
    <row r="1013" spans="2:12" ht="15" x14ac:dyDescent="0.25">
      <c r="B1013" t="s">
        <v>1109</v>
      </c>
      <c r="C1013" t="s">
        <v>1110</v>
      </c>
      <c r="D1013" t="str">
        <f>HYPERLINK("https://rhld.insurance.arkansas.gov/NPILookup?Npi=1679584734","1679584734")</f>
        <v>1679584734</v>
      </c>
      <c r="E1013" t="s">
        <v>1139</v>
      </c>
      <c r="F1013" t="s">
        <v>13</v>
      </c>
      <c r="G1013" s="20">
        <v>1</v>
      </c>
      <c r="H1013" t="s">
        <v>4357</v>
      </c>
      <c r="I1013" t="s">
        <v>4357</v>
      </c>
      <c r="J1013" s="9"/>
      <c r="K1013" s="9"/>
      <c r="L1013" s="9"/>
    </row>
    <row r="1014" spans="2:12" ht="15" x14ac:dyDescent="0.25">
      <c r="B1014" t="s">
        <v>1109</v>
      </c>
      <c r="C1014" t="s">
        <v>1110</v>
      </c>
      <c r="D1014" t="str">
        <f>HYPERLINK("https://rhld.insurance.arkansas.gov/NPILookup?Npi=1710619085","1710619085")</f>
        <v>1710619085</v>
      </c>
      <c r="E1014" t="s">
        <v>1140</v>
      </c>
      <c r="F1014" t="s">
        <v>13</v>
      </c>
      <c r="G1014" s="20">
        <v>1</v>
      </c>
      <c r="H1014" t="s">
        <v>87</v>
      </c>
      <c r="I1014" t="s">
        <v>4357</v>
      </c>
      <c r="J1014" s="9"/>
      <c r="K1014" s="9"/>
      <c r="L1014" s="9"/>
    </row>
    <row r="1015" spans="2:12" ht="15" x14ac:dyDescent="0.25">
      <c r="B1015" t="s">
        <v>1109</v>
      </c>
      <c r="C1015" s="21" t="s">
        <v>1110</v>
      </c>
      <c r="D1015" s="21" t="str">
        <f>HYPERLINK("https://rhld.insurance.arkansas.gov/NPILookup?Npi=1740852110","1740852110")</f>
        <v>1740852110</v>
      </c>
      <c r="E1015" s="21" t="s">
        <v>1141</v>
      </c>
      <c r="F1015" s="21" t="s">
        <v>12</v>
      </c>
      <c r="G1015" s="22">
        <v>1</v>
      </c>
      <c r="H1015" s="21" t="s">
        <v>4338</v>
      </c>
      <c r="I1015" s="21" t="s">
        <v>32</v>
      </c>
      <c r="J1015" s="9"/>
      <c r="K1015" s="9"/>
      <c r="L1015" s="9"/>
    </row>
    <row r="1016" spans="2:12" ht="15" x14ac:dyDescent="0.25">
      <c r="B1016" t="s">
        <v>1109</v>
      </c>
      <c r="C1016" t="s">
        <v>1110</v>
      </c>
      <c r="D1016" t="str">
        <f>HYPERLINK("https://rhld.insurance.arkansas.gov/NPILookup?Npi=1750960787","1750960787")</f>
        <v>1750960787</v>
      </c>
      <c r="E1016" t="s">
        <v>1142</v>
      </c>
      <c r="F1016" t="s">
        <v>13</v>
      </c>
      <c r="G1016" s="20">
        <v>1</v>
      </c>
      <c r="H1016" t="s">
        <v>4357</v>
      </c>
      <c r="I1016" t="s">
        <v>4357</v>
      </c>
      <c r="J1016" s="9"/>
      <c r="K1016" s="23"/>
      <c r="L1016" s="9"/>
    </row>
    <row r="1017" spans="2:12" ht="15" x14ac:dyDescent="0.25">
      <c r="B1017" t="s">
        <v>1109</v>
      </c>
      <c r="C1017" t="s">
        <v>1110</v>
      </c>
      <c r="D1017" t="str">
        <f>HYPERLINK("https://rhld.insurance.arkansas.gov/NPILookup?Npi=1811989098","1811989098")</f>
        <v>1811989098</v>
      </c>
      <c r="E1017" t="s">
        <v>1143</v>
      </c>
      <c r="F1017" t="s">
        <v>13</v>
      </c>
      <c r="G1017" s="20">
        <v>1</v>
      </c>
      <c r="H1017" t="s">
        <v>4357</v>
      </c>
      <c r="I1017" t="s">
        <v>4357</v>
      </c>
      <c r="J1017" s="9"/>
      <c r="K1017" s="23"/>
      <c r="L1017" s="9"/>
    </row>
    <row r="1018" spans="2:12" ht="15" x14ac:dyDescent="0.25">
      <c r="B1018" t="s">
        <v>1109</v>
      </c>
      <c r="C1018" t="s">
        <v>1110</v>
      </c>
      <c r="D1018" t="str">
        <f>HYPERLINK("https://rhld.insurance.arkansas.gov/NPILookup?Npi=1871811794","1871811794")</f>
        <v>1871811794</v>
      </c>
      <c r="E1018" t="s">
        <v>1144</v>
      </c>
      <c r="F1018" t="s">
        <v>13</v>
      </c>
      <c r="G1018" s="20">
        <v>1</v>
      </c>
      <c r="H1018" t="s">
        <v>4357</v>
      </c>
      <c r="I1018" t="s">
        <v>4357</v>
      </c>
      <c r="J1018" s="9"/>
      <c r="K1018" s="23"/>
      <c r="L1018" s="9"/>
    </row>
    <row r="1019" spans="2:12" ht="15" x14ac:dyDescent="0.25">
      <c r="B1019" t="s">
        <v>1109</v>
      </c>
      <c r="C1019" t="s">
        <v>1110</v>
      </c>
      <c r="D1019" t="str">
        <f>HYPERLINK("https://rhld.insurance.arkansas.gov/NPILookup?Npi=1922681782","1922681782")</f>
        <v>1922681782</v>
      </c>
      <c r="E1019" t="s">
        <v>1145</v>
      </c>
      <c r="F1019" t="s">
        <v>13</v>
      </c>
      <c r="G1019" s="20">
        <v>1</v>
      </c>
      <c r="H1019" t="s">
        <v>4357</v>
      </c>
      <c r="I1019" t="s">
        <v>4357</v>
      </c>
      <c r="J1019" s="9"/>
      <c r="K1019" s="9"/>
      <c r="L1019" s="9"/>
    </row>
    <row r="1020" spans="2:12" ht="15" x14ac:dyDescent="0.25">
      <c r="B1020" t="s">
        <v>1109</v>
      </c>
      <c r="C1020" s="21" t="s">
        <v>1110</v>
      </c>
      <c r="D1020" s="21" t="str">
        <f>HYPERLINK("https://rhld.insurance.arkansas.gov/NPILookup?Npi=1932262995","1932262995")</f>
        <v>1932262995</v>
      </c>
      <c r="E1020" s="21" t="s">
        <v>1146</v>
      </c>
      <c r="F1020" s="21" t="s">
        <v>12</v>
      </c>
      <c r="G1020" s="22">
        <v>1</v>
      </c>
      <c r="H1020" s="21" t="s">
        <v>4338</v>
      </c>
      <c r="I1020" s="21" t="s">
        <v>32</v>
      </c>
      <c r="J1020" s="9"/>
      <c r="K1020" s="9"/>
      <c r="L1020" s="9"/>
    </row>
    <row r="1021" spans="2:12" ht="15" x14ac:dyDescent="0.25">
      <c r="B1021" t="s">
        <v>1109</v>
      </c>
      <c r="C1021" s="21" t="s">
        <v>1110</v>
      </c>
      <c r="D1021" s="21" t="str">
        <f>HYPERLINK("https://rhld.insurance.arkansas.gov/NPILookup?Npi=1932562725","1932562725")</f>
        <v>1932562725</v>
      </c>
      <c r="E1021" s="21" t="s">
        <v>1147</v>
      </c>
      <c r="F1021" s="21" t="s">
        <v>12</v>
      </c>
      <c r="G1021" s="22">
        <v>1</v>
      </c>
      <c r="H1021" s="21" t="s">
        <v>4338</v>
      </c>
      <c r="I1021" s="21" t="s">
        <v>32</v>
      </c>
      <c r="J1021" s="9"/>
      <c r="K1021" s="23"/>
      <c r="L1021" s="9"/>
    </row>
    <row r="1022" spans="2:12" ht="15" x14ac:dyDescent="0.25">
      <c r="B1022" t="s">
        <v>1109</v>
      </c>
      <c r="C1022" s="21" t="s">
        <v>1110</v>
      </c>
      <c r="D1022" s="21" t="str">
        <f>HYPERLINK("https://rhld.insurance.arkansas.gov/NPILookup?Npi=1952316366","1952316366")</f>
        <v>1952316366</v>
      </c>
      <c r="E1022" s="21" t="s">
        <v>1148</v>
      </c>
      <c r="F1022" s="21" t="s">
        <v>12</v>
      </c>
      <c r="G1022" s="22">
        <v>1</v>
      </c>
      <c r="H1022" s="21" t="s">
        <v>4338</v>
      </c>
      <c r="I1022" s="21" t="s">
        <v>32</v>
      </c>
      <c r="J1022" s="9"/>
      <c r="K1022" s="23"/>
      <c r="L1022" s="9"/>
    </row>
    <row r="1023" spans="2:12" ht="15" x14ac:dyDescent="0.25">
      <c r="B1023" t="s">
        <v>1109</v>
      </c>
      <c r="C1023" t="s">
        <v>1110</v>
      </c>
      <c r="D1023" t="str">
        <f>HYPERLINK("https://rhld.insurance.arkansas.gov/NPILookup?Npi=1962632216","1962632216")</f>
        <v>1962632216</v>
      </c>
      <c r="E1023" t="s">
        <v>1149</v>
      </c>
      <c r="F1023" t="s">
        <v>13</v>
      </c>
      <c r="G1023" s="20">
        <v>1</v>
      </c>
      <c r="H1023" t="s">
        <v>87</v>
      </c>
      <c r="I1023" t="s">
        <v>32</v>
      </c>
      <c r="J1023" s="9"/>
      <c r="K1023" s="23"/>
      <c r="L1023" s="9"/>
    </row>
    <row r="1024" spans="2:12" ht="15" x14ac:dyDescent="0.25">
      <c r="B1024" t="s">
        <v>1109</v>
      </c>
      <c r="C1024" t="s">
        <v>1110</v>
      </c>
      <c r="D1024" t="str">
        <f>HYPERLINK("https://rhld.insurance.arkansas.gov/NPILookup?Npi=1972560845","1972560845")</f>
        <v>1972560845</v>
      </c>
      <c r="E1024" t="s">
        <v>1150</v>
      </c>
      <c r="F1024" t="s">
        <v>13</v>
      </c>
      <c r="G1024" s="20">
        <v>1</v>
      </c>
      <c r="H1024" t="s">
        <v>4357</v>
      </c>
      <c r="I1024" t="s">
        <v>4357</v>
      </c>
      <c r="J1024" s="9"/>
      <c r="K1024" s="23"/>
      <c r="L1024" s="9"/>
    </row>
    <row r="1025" spans="2:12" ht="15" x14ac:dyDescent="0.25">
      <c r="B1025" t="s">
        <v>1109</v>
      </c>
      <c r="C1025" s="21" t="s">
        <v>1110</v>
      </c>
      <c r="D1025" s="21" t="str">
        <f>HYPERLINK("https://rhld.insurance.arkansas.gov/NPILookup?Npi=1992024491","1992024491")</f>
        <v>1992024491</v>
      </c>
      <c r="E1025" s="21" t="s">
        <v>1151</v>
      </c>
      <c r="F1025" s="21" t="s">
        <v>12</v>
      </c>
      <c r="G1025" s="22">
        <v>1</v>
      </c>
      <c r="H1025" s="21" t="s">
        <v>4338</v>
      </c>
      <c r="I1025" s="21" t="s">
        <v>32</v>
      </c>
      <c r="J1025" s="9"/>
      <c r="K1025" s="9"/>
      <c r="L1025" s="9"/>
    </row>
    <row r="1026" spans="2:12" ht="15" x14ac:dyDescent="0.25">
      <c r="B1026" t="s">
        <v>1152</v>
      </c>
      <c r="C1026" s="21" t="s">
        <v>1153</v>
      </c>
      <c r="D1026" s="21" t="str">
        <f>HYPERLINK("https://rhld.insurance.arkansas.gov/NPILookup?Npi=1033452990","1033452990")</f>
        <v>1033452990</v>
      </c>
      <c r="E1026" s="21" t="s">
        <v>1154</v>
      </c>
      <c r="F1026" s="21" t="s">
        <v>12</v>
      </c>
      <c r="G1026" s="22">
        <v>2</v>
      </c>
      <c r="H1026" s="21" t="s">
        <v>4342</v>
      </c>
      <c r="I1026" s="21" t="s">
        <v>32</v>
      </c>
      <c r="J1026" s="9"/>
      <c r="K1026" s="23"/>
      <c r="L1026" s="9"/>
    </row>
    <row r="1027" spans="2:12" ht="15" x14ac:dyDescent="0.25">
      <c r="B1027" t="s">
        <v>1152</v>
      </c>
      <c r="C1027" s="21" t="s">
        <v>1153</v>
      </c>
      <c r="D1027" s="21" t="str">
        <f>HYPERLINK("https://rhld.insurance.arkansas.gov/NPILookup?Npi=1063734069","1063734069")</f>
        <v>1063734069</v>
      </c>
      <c r="E1027" s="21" t="s">
        <v>1155</v>
      </c>
      <c r="F1027" s="21" t="s">
        <v>12</v>
      </c>
      <c r="G1027" s="22">
        <v>1</v>
      </c>
      <c r="H1027" s="21" t="s">
        <v>1156</v>
      </c>
      <c r="I1027" s="21" t="s">
        <v>32</v>
      </c>
      <c r="J1027" s="9"/>
      <c r="K1027" s="9"/>
      <c r="L1027" s="9"/>
    </row>
    <row r="1028" spans="2:12" ht="15" x14ac:dyDescent="0.25">
      <c r="B1028" t="s">
        <v>1152</v>
      </c>
      <c r="C1028" s="21" t="s">
        <v>1153</v>
      </c>
      <c r="D1028" s="21" t="str">
        <f>HYPERLINK("https://rhld.insurance.arkansas.gov/NPILookup?Npi=1093395220","1093395220")</f>
        <v>1093395220</v>
      </c>
      <c r="E1028" s="21" t="s">
        <v>1157</v>
      </c>
      <c r="F1028" s="21" t="s">
        <v>12</v>
      </c>
      <c r="G1028" s="22">
        <v>1</v>
      </c>
      <c r="H1028" s="21" t="s">
        <v>4338</v>
      </c>
      <c r="I1028" s="21" t="s">
        <v>32</v>
      </c>
      <c r="J1028" s="9"/>
      <c r="K1028" s="23"/>
      <c r="L1028" s="9"/>
    </row>
    <row r="1029" spans="2:12" ht="15" x14ac:dyDescent="0.25">
      <c r="B1029" t="s">
        <v>1152</v>
      </c>
      <c r="C1029" t="s">
        <v>1153</v>
      </c>
      <c r="D1029" t="str">
        <f>HYPERLINK("https://rhld.insurance.arkansas.gov/NPILookup?Npi=1306004577","1306004577")</f>
        <v>1306004577</v>
      </c>
      <c r="E1029" t="s">
        <v>1158</v>
      </c>
      <c r="F1029" t="s">
        <v>13</v>
      </c>
      <c r="G1029" s="20">
        <v>1</v>
      </c>
      <c r="H1029" t="s">
        <v>4357</v>
      </c>
      <c r="I1029" t="s">
        <v>4357</v>
      </c>
      <c r="J1029" s="9"/>
      <c r="K1029" s="9"/>
      <c r="L1029" s="9"/>
    </row>
    <row r="1030" spans="2:12" ht="15" x14ac:dyDescent="0.25">
      <c r="B1030" t="s">
        <v>1152</v>
      </c>
      <c r="C1030" s="21" t="s">
        <v>1153</v>
      </c>
      <c r="D1030" s="21" t="str">
        <f>HYPERLINK("https://rhld.insurance.arkansas.gov/NPILookup?Npi=1407060569","1407060569")</f>
        <v>1407060569</v>
      </c>
      <c r="E1030" s="21" t="s">
        <v>1159</v>
      </c>
      <c r="F1030" s="21" t="s">
        <v>12</v>
      </c>
      <c r="G1030" s="22">
        <v>1</v>
      </c>
      <c r="H1030" s="21" t="s">
        <v>4338</v>
      </c>
      <c r="I1030" s="21" t="s">
        <v>32</v>
      </c>
      <c r="J1030" s="9"/>
      <c r="K1030" s="23"/>
      <c r="L1030" s="9"/>
    </row>
    <row r="1031" spans="2:12" ht="15" x14ac:dyDescent="0.25">
      <c r="B1031" t="s">
        <v>1152</v>
      </c>
      <c r="C1031" t="s">
        <v>1153</v>
      </c>
      <c r="D1031" t="str">
        <f>HYPERLINK("https://rhld.insurance.arkansas.gov/NPILookup?Npi=1568459451","1568459451")</f>
        <v>1568459451</v>
      </c>
      <c r="E1031" t="s">
        <v>1160</v>
      </c>
      <c r="F1031" t="s">
        <v>13</v>
      </c>
      <c r="G1031" s="20">
        <v>1</v>
      </c>
      <c r="H1031" t="s">
        <v>87</v>
      </c>
      <c r="I1031" t="s">
        <v>4357</v>
      </c>
      <c r="J1031" s="9"/>
      <c r="K1031" s="23"/>
      <c r="L1031" s="9"/>
    </row>
    <row r="1032" spans="2:12" ht="15" x14ac:dyDescent="0.25">
      <c r="B1032" t="s">
        <v>1152</v>
      </c>
      <c r="C1032" s="21" t="s">
        <v>1153</v>
      </c>
      <c r="D1032" s="21" t="str">
        <f>HYPERLINK("https://rhld.insurance.arkansas.gov/NPILookup?Npi=1619930591","1619930591")</f>
        <v>1619930591</v>
      </c>
      <c r="E1032" s="21" t="s">
        <v>1161</v>
      </c>
      <c r="F1032" s="21" t="s">
        <v>12</v>
      </c>
      <c r="G1032" s="22">
        <v>1</v>
      </c>
      <c r="H1032" s="21" t="s">
        <v>4338</v>
      </c>
      <c r="I1032" s="21" t="s">
        <v>32</v>
      </c>
      <c r="J1032" s="9"/>
      <c r="K1032" s="9"/>
      <c r="L1032" s="9"/>
    </row>
    <row r="1033" spans="2:12" ht="15" x14ac:dyDescent="0.25">
      <c r="B1033" t="s">
        <v>1152</v>
      </c>
      <c r="C1033" t="s">
        <v>1153</v>
      </c>
      <c r="D1033" t="str">
        <f>HYPERLINK("https://rhld.insurance.arkansas.gov/NPILookup?Npi=1689672263","1689672263")</f>
        <v>1689672263</v>
      </c>
      <c r="E1033" t="s">
        <v>1162</v>
      </c>
      <c r="F1033" t="s">
        <v>13</v>
      </c>
      <c r="G1033" s="20">
        <v>1</v>
      </c>
      <c r="H1033" t="s">
        <v>87</v>
      </c>
      <c r="I1033" t="s">
        <v>4357</v>
      </c>
      <c r="J1033" s="9"/>
      <c r="K1033" s="9"/>
      <c r="L1033" s="9"/>
    </row>
    <row r="1034" spans="2:12" ht="15" x14ac:dyDescent="0.25">
      <c r="B1034" t="s">
        <v>1152</v>
      </c>
      <c r="C1034" s="21" t="s">
        <v>1153</v>
      </c>
      <c r="D1034" s="21" t="str">
        <f>HYPERLINK("https://rhld.insurance.arkansas.gov/NPILookup?Npi=1730859414","1730859414")</f>
        <v>1730859414</v>
      </c>
      <c r="E1034" s="21" t="s">
        <v>1163</v>
      </c>
      <c r="F1034" s="21" t="s">
        <v>12</v>
      </c>
      <c r="G1034" s="22">
        <v>1</v>
      </c>
      <c r="H1034" s="21" t="s">
        <v>139</v>
      </c>
      <c r="I1034" s="21" t="s">
        <v>32</v>
      </c>
      <c r="J1034" s="9"/>
      <c r="K1034" s="9"/>
      <c r="L1034" s="9"/>
    </row>
    <row r="1035" spans="2:12" ht="15" x14ac:dyDescent="0.25">
      <c r="B1035" t="s">
        <v>1152</v>
      </c>
      <c r="C1035" s="21" t="s">
        <v>1153</v>
      </c>
      <c r="D1035" s="21" t="str">
        <f>HYPERLINK("https://rhld.insurance.arkansas.gov/NPILookup?Npi=1750813119","1750813119")</f>
        <v>1750813119</v>
      </c>
      <c r="E1035" s="21" t="s">
        <v>1164</v>
      </c>
      <c r="F1035" s="21" t="s">
        <v>12</v>
      </c>
      <c r="G1035" s="22">
        <v>1</v>
      </c>
      <c r="H1035" s="21" t="s">
        <v>4338</v>
      </c>
      <c r="I1035" s="21" t="s">
        <v>32</v>
      </c>
      <c r="J1035" s="9"/>
      <c r="K1035" s="9"/>
      <c r="L1035" s="9"/>
    </row>
    <row r="1036" spans="2:12" ht="15" x14ac:dyDescent="0.25">
      <c r="B1036" t="s">
        <v>1165</v>
      </c>
      <c r="C1036" t="s">
        <v>1166</v>
      </c>
      <c r="D1036" t="str">
        <f>HYPERLINK("https://rhld.insurance.arkansas.gov/NPILookup?Npi=1023107935","1023107935")</f>
        <v>1023107935</v>
      </c>
      <c r="E1036" t="s">
        <v>1167</v>
      </c>
      <c r="F1036" t="s">
        <v>12</v>
      </c>
      <c r="G1036" s="20">
        <v>1</v>
      </c>
      <c r="H1036" t="s">
        <v>4338</v>
      </c>
      <c r="I1036" t="s">
        <v>32</v>
      </c>
      <c r="J1036" s="9"/>
      <c r="K1036" s="9"/>
      <c r="L1036" s="9"/>
    </row>
    <row r="1037" spans="2:12" ht="15" x14ac:dyDescent="0.25">
      <c r="B1037" t="s">
        <v>1165</v>
      </c>
      <c r="C1037" t="s">
        <v>1166</v>
      </c>
      <c r="D1037" t="str">
        <f>HYPERLINK("https://rhld.insurance.arkansas.gov/NPILookup?Npi=1396449401","1396449401")</f>
        <v>1396449401</v>
      </c>
      <c r="E1037" t="s">
        <v>1174</v>
      </c>
      <c r="F1037" t="s">
        <v>13</v>
      </c>
      <c r="G1037" s="20">
        <v>1</v>
      </c>
      <c r="H1037" t="s">
        <v>87</v>
      </c>
      <c r="I1037" t="s">
        <v>4357</v>
      </c>
      <c r="J1037" s="9"/>
      <c r="K1037" s="9"/>
      <c r="L1037" s="9"/>
    </row>
    <row r="1038" spans="2:12" ht="15" x14ac:dyDescent="0.25">
      <c r="B1038" t="s">
        <v>1165</v>
      </c>
      <c r="C1038" t="s">
        <v>1166</v>
      </c>
      <c r="D1038" t="str">
        <f>HYPERLINK("https://rhld.insurance.arkansas.gov/NPILookup?Npi=1114314127","1114314127")</f>
        <v>1114314127</v>
      </c>
      <c r="E1038" t="s">
        <v>1170</v>
      </c>
      <c r="F1038" t="s">
        <v>12</v>
      </c>
      <c r="G1038" s="20">
        <v>1</v>
      </c>
      <c r="H1038" t="s">
        <v>4338</v>
      </c>
      <c r="I1038" t="s">
        <v>32</v>
      </c>
      <c r="J1038" s="9"/>
      <c r="K1038" s="9"/>
      <c r="L1038" s="9"/>
    </row>
    <row r="1039" spans="2:12" ht="15" x14ac:dyDescent="0.25">
      <c r="B1039" t="s">
        <v>1165</v>
      </c>
      <c r="C1039" t="s">
        <v>1166</v>
      </c>
      <c r="D1039" t="str">
        <f>HYPERLINK("https://rhld.insurance.arkansas.gov/NPILookup?Npi=1235181710","1235181710")</f>
        <v>1235181710</v>
      </c>
      <c r="E1039" t="s">
        <v>1171</v>
      </c>
      <c r="F1039" t="s">
        <v>12</v>
      </c>
      <c r="G1039" s="20">
        <v>1</v>
      </c>
      <c r="H1039" t="s">
        <v>4338</v>
      </c>
      <c r="I1039" t="s">
        <v>4357</v>
      </c>
      <c r="J1039" s="9"/>
      <c r="K1039" s="9"/>
      <c r="L1039" s="9"/>
    </row>
    <row r="1040" spans="2:12" ht="15" x14ac:dyDescent="0.25">
      <c r="B1040" t="s">
        <v>1165</v>
      </c>
      <c r="C1040" t="s">
        <v>1166</v>
      </c>
      <c r="D1040" t="str">
        <f>HYPERLINK("https://rhld.insurance.arkansas.gov/NPILookup?Npi=1255852281","1255852281")</f>
        <v>1255852281</v>
      </c>
      <c r="E1040" t="s">
        <v>1172</v>
      </c>
      <c r="F1040" t="s">
        <v>12</v>
      </c>
      <c r="G1040" s="20">
        <v>1</v>
      </c>
      <c r="H1040" t="s">
        <v>4338</v>
      </c>
      <c r="I1040" t="s">
        <v>32</v>
      </c>
      <c r="J1040" s="9"/>
      <c r="K1040" s="9"/>
      <c r="L1040" s="9"/>
    </row>
    <row r="1041" spans="2:12" ht="15" x14ac:dyDescent="0.25">
      <c r="B1041" t="s">
        <v>1165</v>
      </c>
      <c r="C1041" t="s">
        <v>1166</v>
      </c>
      <c r="D1041" t="str">
        <f>HYPERLINK("https://rhld.insurance.arkansas.gov/NPILookup?Npi=1356462329","1356462329")</f>
        <v>1356462329</v>
      </c>
      <c r="E1041" t="s">
        <v>1173</v>
      </c>
      <c r="F1041" t="s">
        <v>12</v>
      </c>
      <c r="G1041" s="20">
        <v>2</v>
      </c>
      <c r="H1041" t="s">
        <v>4343</v>
      </c>
      <c r="I1041" t="s">
        <v>32</v>
      </c>
      <c r="J1041" s="9"/>
      <c r="K1041" s="9"/>
      <c r="L1041" s="9"/>
    </row>
    <row r="1042" spans="2:12" ht="15" x14ac:dyDescent="0.25">
      <c r="B1042" t="s">
        <v>1165</v>
      </c>
      <c r="C1042" t="s">
        <v>1166</v>
      </c>
      <c r="D1042" t="str">
        <f>HYPERLINK("https://rhld.insurance.arkansas.gov/NPILookup?Npi=1588154900","1588154900")</f>
        <v>1588154900</v>
      </c>
      <c r="E1042" t="s">
        <v>1179</v>
      </c>
      <c r="F1042" t="s">
        <v>13</v>
      </c>
      <c r="G1042" s="20">
        <v>1</v>
      </c>
      <c r="H1042" t="s">
        <v>4357</v>
      </c>
      <c r="I1042" t="s">
        <v>4357</v>
      </c>
      <c r="J1042" s="9"/>
      <c r="K1042" s="9"/>
      <c r="L1042" s="9"/>
    </row>
    <row r="1043" spans="2:12" ht="15" x14ac:dyDescent="0.25">
      <c r="B1043" t="s">
        <v>1165</v>
      </c>
      <c r="C1043" t="s">
        <v>1166</v>
      </c>
      <c r="D1043" t="str">
        <f>HYPERLINK("https://rhld.insurance.arkansas.gov/NPILookup?Npi=1447478896","1447478896")</f>
        <v>1447478896</v>
      </c>
      <c r="E1043" t="s">
        <v>1176</v>
      </c>
      <c r="F1043" t="s">
        <v>12</v>
      </c>
      <c r="G1043" s="20">
        <v>1</v>
      </c>
      <c r="H1043" t="s">
        <v>4338</v>
      </c>
      <c r="I1043" t="s">
        <v>4357</v>
      </c>
      <c r="J1043" s="9"/>
      <c r="K1043" s="9"/>
      <c r="L1043" s="9"/>
    </row>
    <row r="1044" spans="2:12" ht="15" x14ac:dyDescent="0.25">
      <c r="B1044" t="s">
        <v>1165</v>
      </c>
      <c r="C1044" t="s">
        <v>1166</v>
      </c>
      <c r="D1044" t="str">
        <f>HYPERLINK("https://rhld.insurance.arkansas.gov/NPILookup?Npi=1558673889","1558673889")</f>
        <v>1558673889</v>
      </c>
      <c r="E1044" t="s">
        <v>1177</v>
      </c>
      <c r="F1044" t="s">
        <v>12</v>
      </c>
      <c r="G1044" s="20">
        <v>1</v>
      </c>
      <c r="H1044" t="s">
        <v>4338</v>
      </c>
      <c r="I1044" t="s">
        <v>32</v>
      </c>
      <c r="J1044" s="9"/>
      <c r="K1044" s="9"/>
      <c r="L1044" s="9"/>
    </row>
    <row r="1045" spans="2:12" ht="15" x14ac:dyDescent="0.25">
      <c r="B1045" t="s">
        <v>1165</v>
      </c>
      <c r="C1045" t="s">
        <v>1166</v>
      </c>
      <c r="D1045" t="str">
        <f>HYPERLINK("https://rhld.insurance.arkansas.gov/NPILookup?Npi=1568490118","1568490118")</f>
        <v>1568490118</v>
      </c>
      <c r="E1045" t="s">
        <v>1178</v>
      </c>
      <c r="F1045" t="s">
        <v>12</v>
      </c>
      <c r="G1045" s="20">
        <v>1</v>
      </c>
      <c r="H1045" t="s">
        <v>4338</v>
      </c>
      <c r="I1045" t="s">
        <v>32</v>
      </c>
      <c r="J1045" s="9"/>
      <c r="K1045" s="9"/>
      <c r="L1045" s="9"/>
    </row>
    <row r="1046" spans="2:12" ht="15" x14ac:dyDescent="0.25">
      <c r="B1046" t="s">
        <v>1165</v>
      </c>
      <c r="C1046" t="s">
        <v>1166</v>
      </c>
      <c r="D1046" t="str">
        <f>HYPERLINK("https://rhld.insurance.arkansas.gov/NPILookup?Npi=1639256928","1639256928")</f>
        <v>1639256928</v>
      </c>
      <c r="E1046" t="s">
        <v>1182</v>
      </c>
      <c r="F1046" t="s">
        <v>13</v>
      </c>
      <c r="G1046" s="20">
        <v>1</v>
      </c>
      <c r="H1046" t="s">
        <v>87</v>
      </c>
      <c r="I1046" t="s">
        <v>4357</v>
      </c>
      <c r="J1046" s="9"/>
      <c r="K1046" s="9"/>
      <c r="L1046" s="9"/>
    </row>
    <row r="1047" spans="2:12" ht="15" x14ac:dyDescent="0.25">
      <c r="B1047" t="s">
        <v>1165</v>
      </c>
      <c r="C1047" t="s">
        <v>1166</v>
      </c>
      <c r="D1047" t="str">
        <f>HYPERLINK("https://rhld.insurance.arkansas.gov/NPILookup?Npi=1588807994","1588807994")</f>
        <v>1588807994</v>
      </c>
      <c r="E1047" t="s">
        <v>1180</v>
      </c>
      <c r="F1047" t="s">
        <v>12</v>
      </c>
      <c r="G1047" s="20">
        <v>1</v>
      </c>
      <c r="H1047" t="s">
        <v>4338</v>
      </c>
      <c r="I1047" t="s">
        <v>32</v>
      </c>
      <c r="J1047" s="9"/>
      <c r="K1047" s="9"/>
      <c r="L1047" s="9"/>
    </row>
    <row r="1048" spans="2:12" ht="15" x14ac:dyDescent="0.25">
      <c r="B1048" t="s">
        <v>1165</v>
      </c>
      <c r="C1048" t="s">
        <v>1166</v>
      </c>
      <c r="D1048" t="str">
        <f>HYPERLINK("https://rhld.insurance.arkansas.gov/NPILookup?Npi=1629035969","1629035969")</f>
        <v>1629035969</v>
      </c>
      <c r="E1048" t="s">
        <v>1181</v>
      </c>
      <c r="F1048" t="s">
        <v>12</v>
      </c>
      <c r="G1048" s="20">
        <v>1</v>
      </c>
      <c r="H1048" t="s">
        <v>4338</v>
      </c>
      <c r="I1048" t="s">
        <v>32</v>
      </c>
      <c r="J1048" s="9"/>
      <c r="K1048" s="9"/>
      <c r="L1048" s="9"/>
    </row>
    <row r="1049" spans="2:12" ht="15" x14ac:dyDescent="0.25">
      <c r="B1049" t="s">
        <v>1165</v>
      </c>
      <c r="C1049" t="s">
        <v>1166</v>
      </c>
      <c r="D1049" t="str">
        <f>HYPERLINK("https://rhld.insurance.arkansas.gov/NPILookup?Npi=1720749740","1720749740")</f>
        <v>1720749740</v>
      </c>
      <c r="E1049" t="s">
        <v>1183</v>
      </c>
      <c r="F1049" t="s">
        <v>13</v>
      </c>
      <c r="G1049" s="20">
        <v>1</v>
      </c>
      <c r="H1049" t="s">
        <v>4357</v>
      </c>
      <c r="I1049" t="s">
        <v>4357</v>
      </c>
      <c r="J1049" s="9"/>
      <c r="K1049" s="9"/>
      <c r="L1049" s="9"/>
    </row>
    <row r="1050" spans="2:12" ht="15" x14ac:dyDescent="0.25">
      <c r="B1050" t="s">
        <v>1165</v>
      </c>
      <c r="C1050" t="s">
        <v>1166</v>
      </c>
      <c r="D1050" t="str">
        <f>HYPERLINK("https://rhld.insurance.arkansas.gov/NPILookup?Npi=1932299591","1932299591")</f>
        <v>1932299591</v>
      </c>
      <c r="E1050" t="s">
        <v>1188</v>
      </c>
      <c r="F1050" t="s">
        <v>13</v>
      </c>
      <c r="G1050" s="20">
        <v>1</v>
      </c>
      <c r="H1050" t="s">
        <v>87</v>
      </c>
      <c r="I1050" t="s">
        <v>32</v>
      </c>
      <c r="J1050" s="9"/>
      <c r="K1050" s="9"/>
      <c r="L1050" s="9"/>
    </row>
    <row r="1051" spans="2:12" ht="15" x14ac:dyDescent="0.25">
      <c r="B1051" t="s">
        <v>1165</v>
      </c>
      <c r="C1051" t="s">
        <v>1166</v>
      </c>
      <c r="D1051" t="str">
        <f>HYPERLINK("https://rhld.insurance.arkansas.gov/NPILookup?Npi=1770841314","1770841314")</f>
        <v>1770841314</v>
      </c>
      <c r="E1051" t="s">
        <v>1184</v>
      </c>
      <c r="F1051" t="s">
        <v>12</v>
      </c>
      <c r="G1051" s="20">
        <v>1</v>
      </c>
      <c r="H1051" t="s">
        <v>4338</v>
      </c>
      <c r="I1051" t="s">
        <v>32</v>
      </c>
      <c r="J1051" s="9"/>
      <c r="K1051" s="9"/>
      <c r="L1051" s="9"/>
    </row>
    <row r="1052" spans="2:12" ht="15" x14ac:dyDescent="0.25">
      <c r="B1052" t="s">
        <v>1165</v>
      </c>
      <c r="C1052" t="s">
        <v>1166</v>
      </c>
      <c r="D1052" t="str">
        <f>HYPERLINK("https://rhld.insurance.arkansas.gov/NPILookup?Npi=1841270774","1841270774")</f>
        <v>1841270774</v>
      </c>
      <c r="E1052" t="s">
        <v>1185</v>
      </c>
      <c r="F1052" t="s">
        <v>12</v>
      </c>
      <c r="G1052" s="20">
        <v>1</v>
      </c>
      <c r="H1052" t="s">
        <v>4338</v>
      </c>
      <c r="I1052" t="s">
        <v>32</v>
      </c>
      <c r="J1052" s="9"/>
      <c r="K1052" s="9"/>
      <c r="L1052" s="9"/>
    </row>
    <row r="1053" spans="2:12" ht="15" x14ac:dyDescent="0.25">
      <c r="B1053" t="s">
        <v>1165</v>
      </c>
      <c r="C1053" t="s">
        <v>1166</v>
      </c>
      <c r="D1053" t="str">
        <f>HYPERLINK("https://rhld.insurance.arkansas.gov/NPILookup?Npi=1912392986","1912392986")</f>
        <v>1912392986</v>
      </c>
      <c r="E1053" t="s">
        <v>1186</v>
      </c>
      <c r="F1053" t="s">
        <v>12</v>
      </c>
      <c r="G1053" s="20">
        <v>1</v>
      </c>
      <c r="H1053" t="s">
        <v>4338</v>
      </c>
      <c r="I1053" t="s">
        <v>32</v>
      </c>
      <c r="J1053" s="9"/>
      <c r="K1053" s="9"/>
      <c r="L1053" s="9"/>
    </row>
    <row r="1054" spans="2:12" ht="15" x14ac:dyDescent="0.25">
      <c r="B1054" t="s">
        <v>1165</v>
      </c>
      <c r="C1054" t="s">
        <v>1166</v>
      </c>
      <c r="D1054" t="str">
        <f>HYPERLINK("https://rhld.insurance.arkansas.gov/NPILookup?Npi=1912995713","1912995713")</f>
        <v>1912995713</v>
      </c>
      <c r="E1054" t="s">
        <v>1187</v>
      </c>
      <c r="F1054" t="s">
        <v>12</v>
      </c>
      <c r="G1054" s="20">
        <v>1</v>
      </c>
      <c r="H1054" t="s">
        <v>141</v>
      </c>
      <c r="I1054" t="s">
        <v>32</v>
      </c>
      <c r="J1054" s="9"/>
      <c r="K1054" s="9"/>
      <c r="L1054" s="9"/>
    </row>
    <row r="1055" spans="2:12" ht="15" x14ac:dyDescent="0.25">
      <c r="B1055" t="s">
        <v>1165</v>
      </c>
      <c r="C1055" t="s">
        <v>1166</v>
      </c>
      <c r="D1055" t="str">
        <f>HYPERLINK("https://rhld.insurance.arkansas.gov/NPILookup?Npi=1992202899","1992202899")</f>
        <v>1992202899</v>
      </c>
      <c r="E1055" t="s">
        <v>1189</v>
      </c>
      <c r="F1055" t="s">
        <v>13</v>
      </c>
      <c r="G1055" s="20">
        <v>1</v>
      </c>
      <c r="H1055" t="s">
        <v>4357</v>
      </c>
      <c r="I1055" t="s">
        <v>4357</v>
      </c>
      <c r="J1055" s="9"/>
      <c r="K1055" s="9"/>
      <c r="L1055" s="9"/>
    </row>
    <row r="1056" spans="2:12" ht="15" x14ac:dyDescent="0.25">
      <c r="B1056" t="s">
        <v>1165</v>
      </c>
      <c r="C1056" t="s">
        <v>1166</v>
      </c>
      <c r="D1056" t="str">
        <f>HYPERLINK("https://rhld.insurance.arkansas.gov/NPILookup?Npi=1952352510","1952352510")</f>
        <v>1952352510</v>
      </c>
      <c r="E1056" t="s">
        <v>916</v>
      </c>
      <c r="F1056" t="s">
        <v>12</v>
      </c>
      <c r="G1056" s="20">
        <v>1</v>
      </c>
      <c r="H1056" t="s">
        <v>4338</v>
      </c>
      <c r="I1056" t="s">
        <v>32</v>
      </c>
      <c r="J1056" s="9"/>
      <c r="K1056" s="9"/>
      <c r="L1056" s="9"/>
    </row>
    <row r="1057" spans="2:12" ht="15" x14ac:dyDescent="0.25">
      <c r="B1057" t="s">
        <v>1165</v>
      </c>
      <c r="C1057" t="s">
        <v>1166</v>
      </c>
      <c r="D1057" t="str">
        <f>HYPERLINK("https://rhld.insurance.arkansas.gov/NPILookup?Npi=1992753263","1992753263")</f>
        <v>1992753263</v>
      </c>
      <c r="E1057" t="s">
        <v>1190</v>
      </c>
      <c r="F1057" t="s">
        <v>13</v>
      </c>
      <c r="G1057" s="20">
        <v>1</v>
      </c>
      <c r="H1057" t="s">
        <v>87</v>
      </c>
      <c r="I1057" t="s">
        <v>4357</v>
      </c>
      <c r="J1057" s="9"/>
      <c r="K1057" s="9"/>
      <c r="L1057" s="9"/>
    </row>
    <row r="1058" spans="2:12" ht="15" x14ac:dyDescent="0.25">
      <c r="B1058" t="s">
        <v>1191</v>
      </c>
      <c r="C1058" t="s">
        <v>1192</v>
      </c>
      <c r="D1058" t="str">
        <f>HYPERLINK("https://rhld.insurance.arkansas.gov/NPILookup?Npi=1003017427","1003017427")</f>
        <v>1003017427</v>
      </c>
      <c r="E1058" t="s">
        <v>4358</v>
      </c>
      <c r="F1058" t="s">
        <v>13</v>
      </c>
      <c r="G1058" s="20">
        <v>1</v>
      </c>
      <c r="H1058" t="s">
        <v>87</v>
      </c>
      <c r="I1058" t="s">
        <v>4357</v>
      </c>
      <c r="J1058" s="9"/>
      <c r="K1058" s="9"/>
      <c r="L1058" s="9"/>
    </row>
    <row r="1059" spans="2:12" ht="15" x14ac:dyDescent="0.25">
      <c r="B1059" t="s">
        <v>1191</v>
      </c>
      <c r="C1059" t="s">
        <v>1192</v>
      </c>
      <c r="D1059" t="str">
        <f>HYPERLINK("https://rhld.insurance.arkansas.gov/NPILookup?Npi=1003078692","1003078692")</f>
        <v>1003078692</v>
      </c>
      <c r="E1059" t="s">
        <v>4359</v>
      </c>
      <c r="F1059" t="s">
        <v>13</v>
      </c>
      <c r="G1059" s="20">
        <v>1</v>
      </c>
      <c r="H1059" t="s">
        <v>87</v>
      </c>
      <c r="I1059" t="s">
        <v>4357</v>
      </c>
      <c r="J1059" s="9"/>
      <c r="K1059" s="9"/>
      <c r="L1059" s="9"/>
    </row>
    <row r="1060" spans="2:12" ht="15" x14ac:dyDescent="0.25">
      <c r="B1060" t="s">
        <v>1191</v>
      </c>
      <c r="C1060" t="s">
        <v>1192</v>
      </c>
      <c r="D1060" t="str">
        <f>HYPERLINK("https://rhld.insurance.arkansas.gov/NPILookup?Npi=1003253857","1003253857")</f>
        <v>1003253857</v>
      </c>
      <c r="E1060" t="s">
        <v>4360</v>
      </c>
      <c r="F1060" t="s">
        <v>13</v>
      </c>
      <c r="G1060" s="20">
        <v>1</v>
      </c>
      <c r="H1060" t="s">
        <v>87</v>
      </c>
      <c r="I1060" t="s">
        <v>4357</v>
      </c>
      <c r="J1060" s="9"/>
      <c r="K1060" s="9"/>
      <c r="L1060" s="9"/>
    </row>
    <row r="1061" spans="2:12" ht="15" x14ac:dyDescent="0.25">
      <c r="B1061" t="s">
        <v>1191</v>
      </c>
      <c r="C1061" t="s">
        <v>1192</v>
      </c>
      <c r="D1061" t="str">
        <f>HYPERLINK("https://rhld.insurance.arkansas.gov/NPILookup?Npi=1003472366","1003472366")</f>
        <v>1003472366</v>
      </c>
      <c r="E1061" t="s">
        <v>4361</v>
      </c>
      <c r="F1061" t="s">
        <v>13</v>
      </c>
      <c r="G1061" s="20">
        <v>1</v>
      </c>
      <c r="H1061" t="s">
        <v>87</v>
      </c>
      <c r="I1061" t="s">
        <v>4357</v>
      </c>
      <c r="J1061" s="9"/>
      <c r="K1061" s="9"/>
      <c r="L1061" s="9"/>
    </row>
    <row r="1062" spans="2:12" ht="15" x14ac:dyDescent="0.25">
      <c r="B1062" t="s">
        <v>1191</v>
      </c>
      <c r="C1062" t="s">
        <v>1192</v>
      </c>
      <c r="D1062" t="str">
        <f>HYPERLINK("https://rhld.insurance.arkansas.gov/NPILookup?Npi=1023424306","1023424306")</f>
        <v>1023424306</v>
      </c>
      <c r="E1062" t="s">
        <v>4362</v>
      </c>
      <c r="F1062" t="s">
        <v>13</v>
      </c>
      <c r="G1062" s="20">
        <v>1</v>
      </c>
      <c r="H1062" t="s">
        <v>87</v>
      </c>
      <c r="I1062" t="s">
        <v>4357</v>
      </c>
      <c r="J1062" s="9"/>
      <c r="K1062" s="9"/>
      <c r="L1062" s="9"/>
    </row>
    <row r="1063" spans="2:12" ht="15" x14ac:dyDescent="0.25">
      <c r="B1063" t="s">
        <v>1191</v>
      </c>
      <c r="C1063" t="s">
        <v>1192</v>
      </c>
      <c r="D1063" t="str">
        <f>HYPERLINK("https://rhld.insurance.arkansas.gov/NPILookup?Npi=1003850009","1003850009")</f>
        <v>1003850009</v>
      </c>
      <c r="E1063" t="s">
        <v>1193</v>
      </c>
      <c r="F1063" t="s">
        <v>12</v>
      </c>
      <c r="G1063" s="20">
        <v>1</v>
      </c>
      <c r="H1063" t="s">
        <v>139</v>
      </c>
      <c r="I1063" t="s">
        <v>32</v>
      </c>
      <c r="J1063" s="9"/>
      <c r="K1063" s="9"/>
      <c r="L1063" s="9"/>
    </row>
    <row r="1064" spans="2:12" ht="15" x14ac:dyDescent="0.25">
      <c r="B1064" t="s">
        <v>1191</v>
      </c>
      <c r="C1064" t="s">
        <v>1192</v>
      </c>
      <c r="D1064" t="str">
        <f>HYPERLINK("https://rhld.insurance.arkansas.gov/NPILookup?Npi=1033343579","1033343579")</f>
        <v>1033343579</v>
      </c>
      <c r="E1064" t="s">
        <v>4363</v>
      </c>
      <c r="F1064" t="s">
        <v>13</v>
      </c>
      <c r="G1064" s="20">
        <v>1</v>
      </c>
      <c r="H1064" t="s">
        <v>87</v>
      </c>
      <c r="I1064" t="s">
        <v>4357</v>
      </c>
      <c r="J1064" s="9"/>
      <c r="K1064" s="9"/>
      <c r="L1064" s="9"/>
    </row>
    <row r="1065" spans="2:12" ht="15" x14ac:dyDescent="0.25">
      <c r="B1065" t="s">
        <v>1191</v>
      </c>
      <c r="C1065" t="s">
        <v>1192</v>
      </c>
      <c r="D1065" t="str">
        <f>HYPERLINK("https://rhld.insurance.arkansas.gov/NPILookup?Npi=1033606660","1033606660")</f>
        <v>1033606660</v>
      </c>
      <c r="E1065" t="s">
        <v>4364</v>
      </c>
      <c r="F1065" t="s">
        <v>13</v>
      </c>
      <c r="G1065" s="20">
        <v>1</v>
      </c>
      <c r="H1065" t="s">
        <v>87</v>
      </c>
      <c r="I1065" t="s">
        <v>4357</v>
      </c>
      <c r="J1065" s="9"/>
      <c r="K1065" s="9"/>
      <c r="L1065" s="9"/>
    </row>
    <row r="1066" spans="2:12" ht="15" x14ac:dyDescent="0.25">
      <c r="B1066" t="s">
        <v>1191</v>
      </c>
      <c r="C1066" t="s">
        <v>1192</v>
      </c>
      <c r="D1066" t="str">
        <f>HYPERLINK("https://rhld.insurance.arkansas.gov/NPILookup?Npi=1063698967","1063698967")</f>
        <v>1063698967</v>
      </c>
      <c r="E1066" t="s">
        <v>1197</v>
      </c>
      <c r="F1066" t="s">
        <v>13</v>
      </c>
      <c r="G1066" s="20">
        <v>1</v>
      </c>
      <c r="H1066" t="s">
        <v>4357</v>
      </c>
      <c r="I1066" t="s">
        <v>4357</v>
      </c>
      <c r="J1066" s="9"/>
      <c r="K1066" s="9"/>
      <c r="L1066" s="9"/>
    </row>
    <row r="1067" spans="2:12" ht="15" x14ac:dyDescent="0.25">
      <c r="B1067" t="s">
        <v>1191</v>
      </c>
      <c r="C1067" t="s">
        <v>1192</v>
      </c>
      <c r="D1067" t="str">
        <f>HYPERLINK("https://rhld.insurance.arkansas.gov/NPILookup?Npi=1043227606","1043227606")</f>
        <v>1043227606</v>
      </c>
      <c r="E1067" t="s">
        <v>1194</v>
      </c>
      <c r="F1067" t="s">
        <v>12</v>
      </c>
      <c r="G1067" s="20">
        <v>1</v>
      </c>
      <c r="H1067" t="s">
        <v>4338</v>
      </c>
      <c r="I1067" t="s">
        <v>32</v>
      </c>
      <c r="J1067" s="9"/>
      <c r="K1067" s="9"/>
      <c r="L1067" s="9"/>
    </row>
    <row r="1068" spans="2:12" ht="15" x14ac:dyDescent="0.25">
      <c r="B1068" t="s">
        <v>1191</v>
      </c>
      <c r="C1068" t="s">
        <v>1192</v>
      </c>
      <c r="D1068" t="str">
        <f>HYPERLINK("https://rhld.insurance.arkansas.gov/NPILookup?Npi=1043331010","1043331010")</f>
        <v>1043331010</v>
      </c>
      <c r="E1068" t="s">
        <v>1195</v>
      </c>
      <c r="F1068" t="s">
        <v>12</v>
      </c>
      <c r="G1068" s="20">
        <v>1</v>
      </c>
      <c r="H1068" t="s">
        <v>4338</v>
      </c>
      <c r="I1068" t="s">
        <v>32</v>
      </c>
      <c r="J1068" s="9"/>
      <c r="K1068" s="9"/>
      <c r="L1068" s="9"/>
    </row>
    <row r="1069" spans="2:12" ht="15" x14ac:dyDescent="0.25">
      <c r="B1069" t="s">
        <v>1191</v>
      </c>
      <c r="C1069" t="s">
        <v>1192</v>
      </c>
      <c r="D1069" t="str">
        <f>HYPERLINK("https://rhld.insurance.arkansas.gov/NPILookup?Npi=1043547623","1043547623")</f>
        <v>1043547623</v>
      </c>
      <c r="E1069" t="s">
        <v>1196</v>
      </c>
      <c r="F1069" t="s">
        <v>12</v>
      </c>
      <c r="G1069" s="20">
        <v>1</v>
      </c>
      <c r="H1069" t="s">
        <v>4338</v>
      </c>
      <c r="I1069" t="s">
        <v>32</v>
      </c>
      <c r="J1069" s="9"/>
      <c r="K1069" s="9"/>
      <c r="L1069" s="9"/>
    </row>
    <row r="1070" spans="2:12" ht="15" x14ac:dyDescent="0.25">
      <c r="B1070" t="s">
        <v>1191</v>
      </c>
      <c r="C1070" t="s">
        <v>1192</v>
      </c>
      <c r="D1070" t="str">
        <f>HYPERLINK("https://rhld.insurance.arkansas.gov/NPILookup?Npi=1063737302","1063737302")</f>
        <v>1063737302</v>
      </c>
      <c r="E1070" t="s">
        <v>4365</v>
      </c>
      <c r="F1070" t="s">
        <v>13</v>
      </c>
      <c r="G1070" s="20">
        <v>1</v>
      </c>
      <c r="H1070" t="s">
        <v>87</v>
      </c>
      <c r="I1070" t="s">
        <v>4357</v>
      </c>
      <c r="J1070" s="9"/>
      <c r="K1070" s="9"/>
      <c r="L1070" s="9"/>
    </row>
    <row r="1071" spans="2:12" ht="15" x14ac:dyDescent="0.25">
      <c r="B1071" t="s">
        <v>1191</v>
      </c>
      <c r="C1071" t="s">
        <v>1192</v>
      </c>
      <c r="D1071" t="str">
        <f>HYPERLINK("https://rhld.insurance.arkansas.gov/NPILookup?Npi=1063774669","1063774669")</f>
        <v>1063774669</v>
      </c>
      <c r="E1071" t="s">
        <v>4366</v>
      </c>
      <c r="F1071" t="s">
        <v>13</v>
      </c>
      <c r="G1071" s="20">
        <v>1</v>
      </c>
      <c r="H1071" t="s">
        <v>87</v>
      </c>
      <c r="I1071" t="s">
        <v>4357</v>
      </c>
      <c r="J1071" s="9"/>
      <c r="K1071" s="9"/>
      <c r="L1071" s="9"/>
    </row>
    <row r="1072" spans="2:12" ht="15" x14ac:dyDescent="0.25">
      <c r="B1072" t="s">
        <v>1191</v>
      </c>
      <c r="C1072" t="s">
        <v>1192</v>
      </c>
      <c r="D1072" t="str">
        <f>HYPERLINK("https://rhld.insurance.arkansas.gov/NPILookup?Npi=1063868677","1063868677")</f>
        <v>1063868677</v>
      </c>
      <c r="E1072" t="s">
        <v>4367</v>
      </c>
      <c r="F1072" t="s">
        <v>13</v>
      </c>
      <c r="G1072" s="20">
        <v>1</v>
      </c>
      <c r="H1072" t="s">
        <v>87</v>
      </c>
      <c r="I1072" t="s">
        <v>4357</v>
      </c>
      <c r="J1072" s="9"/>
      <c r="K1072" s="9"/>
      <c r="L1072" s="9"/>
    </row>
    <row r="1073" spans="2:12" ht="15" x14ac:dyDescent="0.25">
      <c r="B1073" t="s">
        <v>1191</v>
      </c>
      <c r="C1073" t="s">
        <v>1192</v>
      </c>
      <c r="D1073" t="str">
        <f>HYPERLINK("https://rhld.insurance.arkansas.gov/NPILookup?Npi=1073599155","1073599155")</f>
        <v>1073599155</v>
      </c>
      <c r="E1073" t="s">
        <v>4368</v>
      </c>
      <c r="F1073" t="s">
        <v>13</v>
      </c>
      <c r="G1073" s="20">
        <v>1</v>
      </c>
      <c r="H1073" t="s">
        <v>87</v>
      </c>
      <c r="I1073" t="s">
        <v>4357</v>
      </c>
      <c r="J1073" s="9"/>
      <c r="K1073" s="9"/>
      <c r="L1073" s="9"/>
    </row>
    <row r="1074" spans="2:12" ht="15" x14ac:dyDescent="0.25">
      <c r="B1074" t="s">
        <v>1191</v>
      </c>
      <c r="C1074" t="s">
        <v>1192</v>
      </c>
      <c r="D1074" t="str">
        <f>HYPERLINK("https://rhld.insurance.arkansas.gov/NPILookup?Npi=1073761789","1073761789")</f>
        <v>1073761789</v>
      </c>
      <c r="E1074" t="s">
        <v>4369</v>
      </c>
      <c r="F1074" t="s">
        <v>13</v>
      </c>
      <c r="G1074" s="20">
        <v>1</v>
      </c>
      <c r="H1074" t="s">
        <v>87</v>
      </c>
      <c r="I1074" t="s">
        <v>4357</v>
      </c>
      <c r="J1074" s="9"/>
      <c r="K1074" s="9"/>
      <c r="L1074" s="9"/>
    </row>
    <row r="1075" spans="2:12" ht="15" x14ac:dyDescent="0.25">
      <c r="B1075" t="s">
        <v>1191</v>
      </c>
      <c r="C1075" t="s">
        <v>1192</v>
      </c>
      <c r="D1075" t="str">
        <f>HYPERLINK("https://rhld.insurance.arkansas.gov/NPILookup?Npi=1073953683","1073953683")</f>
        <v>1073953683</v>
      </c>
      <c r="E1075" t="s">
        <v>4370</v>
      </c>
      <c r="F1075" t="s">
        <v>13</v>
      </c>
      <c r="G1075" s="20">
        <v>1</v>
      </c>
      <c r="H1075" t="s">
        <v>87</v>
      </c>
      <c r="I1075" t="s">
        <v>4357</v>
      </c>
      <c r="J1075" s="9"/>
      <c r="K1075" s="9"/>
      <c r="L1075" s="9"/>
    </row>
    <row r="1076" spans="2:12" ht="15" x14ac:dyDescent="0.25">
      <c r="B1076" t="s">
        <v>1191</v>
      </c>
      <c r="C1076" t="s">
        <v>1192</v>
      </c>
      <c r="D1076" t="str">
        <f>HYPERLINK("https://rhld.insurance.arkansas.gov/NPILookup?Npi=1073969523","1073969523")</f>
        <v>1073969523</v>
      </c>
      <c r="E1076" t="s">
        <v>1199</v>
      </c>
      <c r="F1076" t="s">
        <v>13</v>
      </c>
      <c r="G1076" s="20">
        <v>1</v>
      </c>
      <c r="H1076" t="s">
        <v>4357</v>
      </c>
      <c r="I1076" t="s">
        <v>4357</v>
      </c>
      <c r="J1076" s="9"/>
      <c r="K1076" s="9"/>
      <c r="L1076" s="9"/>
    </row>
    <row r="1077" spans="2:12" ht="15" x14ac:dyDescent="0.25">
      <c r="B1077" t="s">
        <v>1191</v>
      </c>
      <c r="C1077" t="s">
        <v>1192</v>
      </c>
      <c r="D1077" t="str">
        <f>HYPERLINK("https://rhld.insurance.arkansas.gov/NPILookup?Npi=1073957254","1073957254")</f>
        <v>1073957254</v>
      </c>
      <c r="E1077" t="s">
        <v>1198</v>
      </c>
      <c r="F1077" t="s">
        <v>12</v>
      </c>
      <c r="G1077" s="20">
        <v>1</v>
      </c>
      <c r="H1077" t="s">
        <v>4338</v>
      </c>
      <c r="I1077" t="s">
        <v>32</v>
      </c>
      <c r="J1077" s="9"/>
      <c r="K1077" s="9"/>
      <c r="L1077" s="9"/>
    </row>
    <row r="1078" spans="2:12" ht="15" x14ac:dyDescent="0.25">
      <c r="B1078" t="s">
        <v>1191</v>
      </c>
      <c r="C1078" t="s">
        <v>1192</v>
      </c>
      <c r="D1078" t="str">
        <f>HYPERLINK("https://rhld.insurance.arkansas.gov/NPILookup?Npi=1093159444","1093159444")</f>
        <v>1093159444</v>
      </c>
      <c r="E1078" t="s">
        <v>4371</v>
      </c>
      <c r="F1078" t="s">
        <v>13</v>
      </c>
      <c r="G1078" s="20">
        <v>1</v>
      </c>
      <c r="H1078" t="s">
        <v>87</v>
      </c>
      <c r="I1078" t="s">
        <v>4357</v>
      </c>
      <c r="J1078" s="9"/>
      <c r="K1078" s="9"/>
      <c r="L1078" s="9"/>
    </row>
    <row r="1079" spans="2:12" ht="15" x14ac:dyDescent="0.25">
      <c r="B1079" t="s">
        <v>1191</v>
      </c>
      <c r="C1079" t="s">
        <v>1192</v>
      </c>
      <c r="D1079" t="str">
        <f>HYPERLINK("https://rhld.insurance.arkansas.gov/NPILookup?Npi=1083619951","1083619951")</f>
        <v>1083619951</v>
      </c>
      <c r="E1079" t="s">
        <v>1200</v>
      </c>
      <c r="F1079" t="s">
        <v>12</v>
      </c>
      <c r="G1079" s="20">
        <v>1</v>
      </c>
      <c r="H1079" t="s">
        <v>4338</v>
      </c>
      <c r="I1079" t="s">
        <v>32</v>
      </c>
      <c r="J1079" s="9"/>
      <c r="K1079" s="9"/>
      <c r="L1079" s="9"/>
    </row>
    <row r="1080" spans="2:12" ht="15" x14ac:dyDescent="0.25">
      <c r="B1080" t="s">
        <v>1191</v>
      </c>
      <c r="C1080" t="s">
        <v>1192</v>
      </c>
      <c r="D1080" t="str">
        <f>HYPERLINK("https://rhld.insurance.arkansas.gov/NPILookup?Npi=1104260819","1104260819")</f>
        <v>1104260819</v>
      </c>
      <c r="E1080" t="s">
        <v>4372</v>
      </c>
      <c r="F1080" t="s">
        <v>13</v>
      </c>
      <c r="G1080" s="20">
        <v>1</v>
      </c>
      <c r="H1080" t="s">
        <v>87</v>
      </c>
      <c r="I1080" t="s">
        <v>32</v>
      </c>
      <c r="J1080" s="9"/>
      <c r="K1080" s="9"/>
      <c r="L1080" s="9"/>
    </row>
    <row r="1081" spans="2:12" ht="15" x14ac:dyDescent="0.25">
      <c r="B1081" t="s">
        <v>1191</v>
      </c>
      <c r="C1081" t="s">
        <v>1192</v>
      </c>
      <c r="D1081" t="str">
        <f>HYPERLINK("https://rhld.insurance.arkansas.gov/NPILookup?Npi=1093929150","1093929150")</f>
        <v>1093929150</v>
      </c>
      <c r="E1081" t="s">
        <v>1201</v>
      </c>
      <c r="F1081" t="s">
        <v>12</v>
      </c>
      <c r="G1081" s="20">
        <v>1</v>
      </c>
      <c r="H1081" t="s">
        <v>4338</v>
      </c>
      <c r="I1081" t="s">
        <v>4357</v>
      </c>
      <c r="J1081" s="9"/>
      <c r="K1081" s="9"/>
      <c r="L1081" s="9"/>
    </row>
    <row r="1082" spans="2:12" ht="15" x14ac:dyDescent="0.25">
      <c r="B1082" t="s">
        <v>1191</v>
      </c>
      <c r="C1082" t="s">
        <v>1192</v>
      </c>
      <c r="D1082" t="str">
        <f>HYPERLINK("https://rhld.insurance.arkansas.gov/NPILookup?Npi=1124589015","1124589015")</f>
        <v>1124589015</v>
      </c>
      <c r="E1082" t="s">
        <v>4373</v>
      </c>
      <c r="F1082" t="s">
        <v>13</v>
      </c>
      <c r="G1082" s="20">
        <v>1</v>
      </c>
      <c r="H1082" t="s">
        <v>87</v>
      </c>
      <c r="I1082" t="s">
        <v>4357</v>
      </c>
      <c r="J1082" s="9"/>
      <c r="K1082" s="9"/>
      <c r="L1082" s="9"/>
    </row>
    <row r="1083" spans="2:12" ht="15" x14ac:dyDescent="0.25">
      <c r="B1083" t="s">
        <v>1191</v>
      </c>
      <c r="C1083" t="s">
        <v>1192</v>
      </c>
      <c r="D1083" t="str">
        <f>HYPERLINK("https://rhld.insurance.arkansas.gov/NPILookup?Npi=1114971264","1114971264")</f>
        <v>1114971264</v>
      </c>
      <c r="E1083" t="s">
        <v>1202</v>
      </c>
      <c r="F1083" t="s">
        <v>12</v>
      </c>
      <c r="G1083" s="20">
        <v>1</v>
      </c>
      <c r="H1083" t="s">
        <v>4338</v>
      </c>
      <c r="I1083" t="s">
        <v>32</v>
      </c>
      <c r="J1083" s="9"/>
      <c r="K1083" s="9"/>
      <c r="L1083" s="9"/>
    </row>
    <row r="1084" spans="2:12" ht="15" x14ac:dyDescent="0.25">
      <c r="B1084" t="s">
        <v>1191</v>
      </c>
      <c r="C1084" t="s">
        <v>1192</v>
      </c>
      <c r="D1084" t="str">
        <f>HYPERLINK("https://rhld.insurance.arkansas.gov/NPILookup?Npi=1124285630","1124285630")</f>
        <v>1124285630</v>
      </c>
      <c r="E1084" t="s">
        <v>1203</v>
      </c>
      <c r="F1084" t="s">
        <v>12</v>
      </c>
      <c r="G1084" s="20">
        <v>1</v>
      </c>
      <c r="H1084" t="s">
        <v>4338</v>
      </c>
      <c r="I1084" t="s">
        <v>32</v>
      </c>
      <c r="J1084" s="9"/>
      <c r="K1084" s="9"/>
      <c r="L1084" s="9"/>
    </row>
    <row r="1085" spans="2:12" ht="15" x14ac:dyDescent="0.25">
      <c r="B1085" t="s">
        <v>1191</v>
      </c>
      <c r="C1085" t="s">
        <v>1192</v>
      </c>
      <c r="D1085" t="str">
        <f>HYPERLINK("https://rhld.insurance.arkansas.gov/NPILookup?Npi=1134210594","1134210594")</f>
        <v>1134210594</v>
      </c>
      <c r="E1085" t="s">
        <v>4374</v>
      </c>
      <c r="F1085" t="s">
        <v>13</v>
      </c>
      <c r="G1085" s="20">
        <v>1</v>
      </c>
      <c r="H1085" t="s">
        <v>87</v>
      </c>
      <c r="I1085" t="s">
        <v>4357</v>
      </c>
      <c r="J1085" s="9"/>
      <c r="K1085" s="9"/>
      <c r="L1085" s="9"/>
    </row>
    <row r="1086" spans="2:12" ht="15" x14ac:dyDescent="0.25">
      <c r="B1086" t="s">
        <v>1191</v>
      </c>
      <c r="C1086" t="s">
        <v>1192</v>
      </c>
      <c r="D1086" t="str">
        <f>HYPERLINK("https://rhld.insurance.arkansas.gov/NPILookup?Npi=1134145592","1134145592")</f>
        <v>1134145592</v>
      </c>
      <c r="E1086" t="s">
        <v>1204</v>
      </c>
      <c r="F1086" t="s">
        <v>12</v>
      </c>
      <c r="G1086" s="20">
        <v>1</v>
      </c>
      <c r="H1086" t="s">
        <v>4338</v>
      </c>
      <c r="I1086" t="s">
        <v>32</v>
      </c>
      <c r="J1086" s="9"/>
      <c r="K1086" s="9"/>
      <c r="L1086" s="9"/>
    </row>
    <row r="1087" spans="2:12" ht="15" x14ac:dyDescent="0.25">
      <c r="B1087" t="s">
        <v>1191</v>
      </c>
      <c r="C1087" t="s">
        <v>1192</v>
      </c>
      <c r="D1087" t="str">
        <f>HYPERLINK("https://rhld.insurance.arkansas.gov/NPILookup?Npi=1134579006","1134579006")</f>
        <v>1134579006</v>
      </c>
      <c r="E1087" t="s">
        <v>4375</v>
      </c>
      <c r="F1087" t="s">
        <v>13</v>
      </c>
      <c r="G1087" s="20">
        <v>1</v>
      </c>
      <c r="H1087" t="s">
        <v>87</v>
      </c>
      <c r="I1087" t="s">
        <v>4357</v>
      </c>
      <c r="J1087" s="9"/>
      <c r="K1087" s="9"/>
      <c r="L1087" s="9"/>
    </row>
    <row r="1088" spans="2:12" ht="15" x14ac:dyDescent="0.25">
      <c r="B1088" t="s">
        <v>1191</v>
      </c>
      <c r="C1088" t="s">
        <v>1192</v>
      </c>
      <c r="D1088" t="str">
        <f>HYPERLINK("https://rhld.insurance.arkansas.gov/NPILookup?Npi=1134652134","1134652134")</f>
        <v>1134652134</v>
      </c>
      <c r="E1088" t="s">
        <v>4376</v>
      </c>
      <c r="F1088" t="s">
        <v>13</v>
      </c>
      <c r="G1088" s="20">
        <v>1</v>
      </c>
      <c r="H1088" t="s">
        <v>87</v>
      </c>
      <c r="I1088" t="s">
        <v>4357</v>
      </c>
      <c r="J1088" s="9"/>
      <c r="K1088" s="9"/>
      <c r="L1088" s="9"/>
    </row>
    <row r="1089" spans="2:12" ht="15" x14ac:dyDescent="0.25">
      <c r="B1089" t="s">
        <v>1191</v>
      </c>
      <c r="C1089" t="s">
        <v>1192</v>
      </c>
      <c r="D1089" t="str">
        <f>HYPERLINK("https://rhld.insurance.arkansas.gov/NPILookup?Npi=1134626583","1134626583")</f>
        <v>1134626583</v>
      </c>
      <c r="E1089" t="s">
        <v>1205</v>
      </c>
      <c r="F1089" t="s">
        <v>12</v>
      </c>
      <c r="G1089" s="20">
        <v>1</v>
      </c>
      <c r="H1089" t="s">
        <v>4338</v>
      </c>
      <c r="I1089" t="s">
        <v>32</v>
      </c>
      <c r="J1089" s="9"/>
      <c r="K1089" s="9"/>
      <c r="L1089" s="9"/>
    </row>
    <row r="1090" spans="2:12" ht="15" x14ac:dyDescent="0.25">
      <c r="B1090" t="s">
        <v>1191</v>
      </c>
      <c r="C1090" t="s">
        <v>1192</v>
      </c>
      <c r="D1090" t="str">
        <f>HYPERLINK("https://rhld.insurance.arkansas.gov/NPILookup?Npi=1144232893","1144232893")</f>
        <v>1144232893</v>
      </c>
      <c r="E1090" t="s">
        <v>4377</v>
      </c>
      <c r="F1090" t="s">
        <v>13</v>
      </c>
      <c r="G1090" s="20">
        <v>1</v>
      </c>
      <c r="H1090" t="s">
        <v>87</v>
      </c>
      <c r="I1090" t="s">
        <v>4357</v>
      </c>
      <c r="J1090" s="9"/>
      <c r="K1090" s="9"/>
      <c r="L1090" s="9"/>
    </row>
    <row r="1091" spans="2:12" ht="15" x14ac:dyDescent="0.25">
      <c r="B1091" t="s">
        <v>1191</v>
      </c>
      <c r="C1091" t="s">
        <v>1192</v>
      </c>
      <c r="D1091" t="str">
        <f>HYPERLINK("https://rhld.insurance.arkansas.gov/NPILookup?Npi=1144754979","1144754979")</f>
        <v>1144754979</v>
      </c>
      <c r="E1091" t="s">
        <v>4378</v>
      </c>
      <c r="F1091" t="s">
        <v>13</v>
      </c>
      <c r="G1091" s="20">
        <v>1</v>
      </c>
      <c r="H1091" t="s">
        <v>87</v>
      </c>
      <c r="I1091" t="s">
        <v>4357</v>
      </c>
      <c r="J1091" s="9"/>
      <c r="K1091" s="9"/>
      <c r="L1091" s="9"/>
    </row>
    <row r="1092" spans="2:12" ht="15" x14ac:dyDescent="0.25">
      <c r="B1092" t="s">
        <v>1191</v>
      </c>
      <c r="C1092" t="s">
        <v>1192</v>
      </c>
      <c r="D1092" t="str">
        <f>HYPERLINK("https://rhld.insurance.arkansas.gov/NPILookup?Npi=1154347011","1154347011")</f>
        <v>1154347011</v>
      </c>
      <c r="E1092" t="s">
        <v>4379</v>
      </c>
      <c r="F1092" t="s">
        <v>13</v>
      </c>
      <c r="G1092" s="20">
        <v>1</v>
      </c>
      <c r="H1092" t="s">
        <v>87</v>
      </c>
      <c r="I1092" t="s">
        <v>4357</v>
      </c>
      <c r="J1092" s="9"/>
      <c r="K1092" s="9"/>
      <c r="L1092" s="9"/>
    </row>
    <row r="1093" spans="2:12" ht="15" x14ac:dyDescent="0.25">
      <c r="B1093" t="s">
        <v>1191</v>
      </c>
      <c r="C1093" t="s">
        <v>1192</v>
      </c>
      <c r="D1093" t="str">
        <f>HYPERLINK("https://rhld.insurance.arkansas.gov/NPILookup?Npi=1154461531","1154461531")</f>
        <v>1154461531</v>
      </c>
      <c r="E1093" t="s">
        <v>4380</v>
      </c>
      <c r="F1093" t="s">
        <v>13</v>
      </c>
      <c r="G1093" s="20">
        <v>1</v>
      </c>
      <c r="H1093" t="s">
        <v>87</v>
      </c>
      <c r="I1093" t="s">
        <v>4357</v>
      </c>
      <c r="J1093" s="9"/>
      <c r="K1093" s="9"/>
      <c r="L1093" s="9"/>
    </row>
    <row r="1094" spans="2:12" ht="15" x14ac:dyDescent="0.25">
      <c r="B1094" t="s">
        <v>1191</v>
      </c>
      <c r="C1094" t="s">
        <v>1192</v>
      </c>
      <c r="D1094" t="str">
        <f>HYPERLINK("https://rhld.insurance.arkansas.gov/NPILookup?Npi=1154412815","1154412815")</f>
        <v>1154412815</v>
      </c>
      <c r="E1094" t="s">
        <v>1206</v>
      </c>
      <c r="F1094" t="s">
        <v>12</v>
      </c>
      <c r="G1094" s="20">
        <v>1</v>
      </c>
      <c r="H1094" t="s">
        <v>4338</v>
      </c>
      <c r="I1094" t="s">
        <v>32</v>
      </c>
      <c r="J1094" s="9"/>
      <c r="K1094" s="9"/>
      <c r="L1094" s="9"/>
    </row>
    <row r="1095" spans="2:12" ht="15" x14ac:dyDescent="0.25">
      <c r="B1095" t="s">
        <v>1191</v>
      </c>
      <c r="C1095" t="s">
        <v>1192</v>
      </c>
      <c r="D1095" t="str">
        <f>HYPERLINK("https://rhld.insurance.arkansas.gov/NPILookup?Npi=1164050605","1164050605")</f>
        <v>1164050605</v>
      </c>
      <c r="E1095" t="s">
        <v>4381</v>
      </c>
      <c r="F1095" t="s">
        <v>13</v>
      </c>
      <c r="G1095" s="20">
        <v>1</v>
      </c>
      <c r="H1095" t="s">
        <v>87</v>
      </c>
      <c r="I1095" t="s">
        <v>4357</v>
      </c>
      <c r="J1095" s="9"/>
      <c r="K1095" s="9"/>
      <c r="L1095" s="9"/>
    </row>
    <row r="1096" spans="2:12" ht="15" x14ac:dyDescent="0.25">
      <c r="B1096" t="s">
        <v>1191</v>
      </c>
      <c r="C1096" t="s">
        <v>1192</v>
      </c>
      <c r="D1096" t="str">
        <f>HYPERLINK("https://rhld.insurance.arkansas.gov/NPILookup?Npi=1154522696","1154522696")</f>
        <v>1154522696</v>
      </c>
      <c r="E1096" t="s">
        <v>1207</v>
      </c>
      <c r="F1096" t="s">
        <v>12</v>
      </c>
      <c r="G1096" s="20">
        <v>1</v>
      </c>
      <c r="H1096" t="s">
        <v>4338</v>
      </c>
      <c r="I1096" t="s">
        <v>4357</v>
      </c>
      <c r="J1096" s="9"/>
      <c r="K1096" s="9"/>
      <c r="L1096" s="9"/>
    </row>
    <row r="1097" spans="2:12" ht="15" x14ac:dyDescent="0.25">
      <c r="B1097" t="s">
        <v>1191</v>
      </c>
      <c r="C1097" t="s">
        <v>1192</v>
      </c>
      <c r="D1097" t="str">
        <f>HYPERLINK("https://rhld.insurance.arkansas.gov/NPILookup?Npi=1164659546","1164659546")</f>
        <v>1164659546</v>
      </c>
      <c r="E1097" t="s">
        <v>4382</v>
      </c>
      <c r="F1097" t="s">
        <v>13</v>
      </c>
      <c r="G1097" s="20">
        <v>1</v>
      </c>
      <c r="H1097" t="s">
        <v>87</v>
      </c>
      <c r="I1097" t="s">
        <v>4357</v>
      </c>
      <c r="J1097" s="9"/>
      <c r="K1097" s="9"/>
      <c r="L1097" s="9"/>
    </row>
    <row r="1098" spans="2:12" ht="15" x14ac:dyDescent="0.25">
      <c r="B1098" t="s">
        <v>1191</v>
      </c>
      <c r="C1098" t="s">
        <v>1192</v>
      </c>
      <c r="D1098" t="str">
        <f>HYPERLINK("https://rhld.insurance.arkansas.gov/NPILookup?Npi=1164957452","1164957452")</f>
        <v>1164957452</v>
      </c>
      <c r="E1098" t="s">
        <v>4383</v>
      </c>
      <c r="F1098" t="s">
        <v>13</v>
      </c>
      <c r="G1098" s="20">
        <v>1</v>
      </c>
      <c r="H1098" t="s">
        <v>87</v>
      </c>
      <c r="I1098" t="s">
        <v>4357</v>
      </c>
      <c r="J1098" s="9"/>
      <c r="K1098" s="9"/>
      <c r="L1098" s="9"/>
    </row>
    <row r="1099" spans="2:12" ht="15" x14ac:dyDescent="0.25">
      <c r="B1099" t="s">
        <v>1191</v>
      </c>
      <c r="C1099" t="s">
        <v>1192</v>
      </c>
      <c r="D1099" t="str">
        <f>HYPERLINK("https://rhld.insurance.arkansas.gov/NPILookup?Npi=1164693347","1164693347")</f>
        <v>1164693347</v>
      </c>
      <c r="E1099" t="s">
        <v>1208</v>
      </c>
      <c r="F1099" t="s">
        <v>12</v>
      </c>
      <c r="G1099" s="20">
        <v>1</v>
      </c>
      <c r="H1099" t="s">
        <v>4338</v>
      </c>
      <c r="I1099" t="s">
        <v>32</v>
      </c>
      <c r="J1099" s="9"/>
      <c r="K1099" s="9"/>
      <c r="L1099" s="9"/>
    </row>
    <row r="1100" spans="2:12" ht="15" x14ac:dyDescent="0.25">
      <c r="B1100" t="s">
        <v>1191</v>
      </c>
      <c r="C1100" t="s">
        <v>1192</v>
      </c>
      <c r="D1100" t="str">
        <f>HYPERLINK("https://rhld.insurance.arkansas.gov/NPILookup?Npi=1174750376","1174750376")</f>
        <v>1174750376</v>
      </c>
      <c r="E1100" t="s">
        <v>4384</v>
      </c>
      <c r="F1100" t="s">
        <v>13</v>
      </c>
      <c r="G1100" s="20">
        <v>1</v>
      </c>
      <c r="H1100" t="s">
        <v>87</v>
      </c>
      <c r="I1100" t="s">
        <v>4357</v>
      </c>
      <c r="J1100" s="9"/>
      <c r="K1100" s="9"/>
      <c r="L1100" s="9"/>
    </row>
    <row r="1101" spans="2:12" ht="15" x14ac:dyDescent="0.25">
      <c r="B1101" t="s">
        <v>1191</v>
      </c>
      <c r="C1101" t="s">
        <v>1192</v>
      </c>
      <c r="D1101" t="str">
        <f>HYPERLINK("https://rhld.insurance.arkansas.gov/NPILookup?Npi=1174785513","1174785513")</f>
        <v>1174785513</v>
      </c>
      <c r="E1101" t="s">
        <v>4385</v>
      </c>
      <c r="F1101" t="s">
        <v>13</v>
      </c>
      <c r="G1101" s="20">
        <v>1</v>
      </c>
      <c r="H1101" t="s">
        <v>87</v>
      </c>
      <c r="I1101" t="s">
        <v>4357</v>
      </c>
      <c r="J1101" s="9"/>
      <c r="K1101" s="9"/>
      <c r="L1101" s="9"/>
    </row>
    <row r="1102" spans="2:12" ht="15" x14ac:dyDescent="0.25">
      <c r="B1102" t="s">
        <v>1191</v>
      </c>
      <c r="C1102" t="s">
        <v>1192</v>
      </c>
      <c r="D1102" t="str">
        <f>HYPERLINK("https://rhld.insurance.arkansas.gov/NPILookup?Npi=1205062361","1205062361")</f>
        <v>1205062361</v>
      </c>
      <c r="E1102" t="s">
        <v>4386</v>
      </c>
      <c r="F1102" t="s">
        <v>13</v>
      </c>
      <c r="G1102" s="20">
        <v>1</v>
      </c>
      <c r="H1102" t="s">
        <v>87</v>
      </c>
      <c r="I1102" t="s">
        <v>4357</v>
      </c>
      <c r="J1102" s="9"/>
      <c r="K1102" s="9"/>
      <c r="L1102" s="9"/>
    </row>
    <row r="1103" spans="2:12" ht="15" x14ac:dyDescent="0.25">
      <c r="B1103" t="s">
        <v>1191</v>
      </c>
      <c r="C1103" t="s">
        <v>1192</v>
      </c>
      <c r="D1103" t="str">
        <f>HYPERLINK("https://rhld.insurance.arkansas.gov/NPILookup?Npi=1194729061","1194729061")</f>
        <v>1194729061</v>
      </c>
      <c r="E1103" t="s">
        <v>1209</v>
      </c>
      <c r="F1103" t="s">
        <v>12</v>
      </c>
      <c r="G1103" s="20">
        <v>1</v>
      </c>
      <c r="H1103" t="s">
        <v>4338</v>
      </c>
      <c r="I1103" t="s">
        <v>32</v>
      </c>
      <c r="J1103" s="9"/>
      <c r="K1103" s="9"/>
      <c r="L1103" s="9"/>
    </row>
    <row r="1104" spans="2:12" ht="15" x14ac:dyDescent="0.25">
      <c r="B1104" t="s">
        <v>1191</v>
      </c>
      <c r="C1104" t="s">
        <v>1192</v>
      </c>
      <c r="D1104" t="str">
        <f>HYPERLINK("https://rhld.insurance.arkansas.gov/NPILookup?Npi=1205192838","1205192838")</f>
        <v>1205192838</v>
      </c>
      <c r="E1104" t="s">
        <v>4387</v>
      </c>
      <c r="F1104" t="s">
        <v>13</v>
      </c>
      <c r="G1104" s="20">
        <v>1</v>
      </c>
      <c r="H1104" t="s">
        <v>87</v>
      </c>
      <c r="I1104" t="s">
        <v>4357</v>
      </c>
      <c r="J1104" s="9"/>
      <c r="K1104" s="9"/>
      <c r="L1104" s="9"/>
    </row>
    <row r="1105" spans="2:12" ht="15" x14ac:dyDescent="0.25">
      <c r="B1105" t="s">
        <v>1191</v>
      </c>
      <c r="C1105" t="s">
        <v>1192</v>
      </c>
      <c r="D1105" t="str">
        <f>HYPERLINK("https://rhld.insurance.arkansas.gov/NPILookup?Npi=1225272941","1225272941")</f>
        <v>1225272941</v>
      </c>
      <c r="E1105" t="s">
        <v>1213</v>
      </c>
      <c r="F1105" t="s">
        <v>13</v>
      </c>
      <c r="G1105" s="20">
        <v>2</v>
      </c>
      <c r="H1105" t="s">
        <v>439</v>
      </c>
      <c r="I1105" t="s">
        <v>4357</v>
      </c>
      <c r="J1105" s="9"/>
      <c r="K1105" s="9"/>
      <c r="L1105" s="9"/>
    </row>
    <row r="1106" spans="2:12" ht="15" x14ac:dyDescent="0.25">
      <c r="B1106" t="s">
        <v>1191</v>
      </c>
      <c r="C1106" t="s">
        <v>1192</v>
      </c>
      <c r="D1106" t="str">
        <f>HYPERLINK("https://rhld.insurance.arkansas.gov/NPILookup?Npi=1215166426","1215166426")</f>
        <v>1215166426</v>
      </c>
      <c r="E1106" t="s">
        <v>1211</v>
      </c>
      <c r="F1106" t="s">
        <v>12</v>
      </c>
      <c r="G1106" s="20">
        <v>1</v>
      </c>
      <c r="H1106" t="s">
        <v>4338</v>
      </c>
      <c r="I1106" t="s">
        <v>32</v>
      </c>
      <c r="J1106" s="9"/>
      <c r="K1106" s="9"/>
      <c r="L1106" s="9"/>
    </row>
    <row r="1107" spans="2:12" ht="15" x14ac:dyDescent="0.25">
      <c r="B1107" t="s">
        <v>1191</v>
      </c>
      <c r="C1107" t="s">
        <v>1192</v>
      </c>
      <c r="D1107" t="str">
        <f>HYPERLINK("https://rhld.insurance.arkansas.gov/NPILookup?Npi=1225212392","1225212392")</f>
        <v>1225212392</v>
      </c>
      <c r="E1107" t="s">
        <v>1212</v>
      </c>
      <c r="F1107" t="s">
        <v>12</v>
      </c>
      <c r="G1107" s="20">
        <v>1</v>
      </c>
      <c r="H1107" t="s">
        <v>4338</v>
      </c>
      <c r="I1107" t="s">
        <v>32</v>
      </c>
      <c r="J1107" s="9"/>
      <c r="K1107" s="9"/>
      <c r="L1107" s="9"/>
    </row>
    <row r="1108" spans="2:12" ht="15" x14ac:dyDescent="0.25">
      <c r="B1108" t="s">
        <v>1191</v>
      </c>
      <c r="C1108" t="s">
        <v>1192</v>
      </c>
      <c r="D1108" t="str">
        <f>HYPERLINK("https://rhld.insurance.arkansas.gov/NPILookup?Npi=1245493402","1245493402")</f>
        <v>1245493402</v>
      </c>
      <c r="E1108" t="s">
        <v>4388</v>
      </c>
      <c r="F1108" t="s">
        <v>13</v>
      </c>
      <c r="G1108" s="20">
        <v>1</v>
      </c>
      <c r="H1108" t="s">
        <v>87</v>
      </c>
      <c r="I1108" t="s">
        <v>4357</v>
      </c>
      <c r="J1108" s="9"/>
      <c r="K1108" s="9"/>
      <c r="L1108" s="9"/>
    </row>
    <row r="1109" spans="2:12" ht="15" x14ac:dyDescent="0.25">
      <c r="B1109" t="s">
        <v>1191</v>
      </c>
      <c r="C1109" t="s">
        <v>1192</v>
      </c>
      <c r="D1109" t="str">
        <f>HYPERLINK("https://rhld.insurance.arkansas.gov/NPILookup?Npi=1235247958","1235247958")</f>
        <v>1235247958</v>
      </c>
      <c r="E1109" t="s">
        <v>1214</v>
      </c>
      <c r="F1109" t="s">
        <v>12</v>
      </c>
      <c r="G1109" s="20">
        <v>1</v>
      </c>
      <c r="H1109" t="s">
        <v>139</v>
      </c>
      <c r="I1109" t="s">
        <v>4357</v>
      </c>
      <c r="J1109" s="9"/>
      <c r="K1109" s="9"/>
      <c r="L1109" s="9"/>
    </row>
    <row r="1110" spans="2:12" ht="15" x14ac:dyDescent="0.25">
      <c r="B1110" t="s">
        <v>1191</v>
      </c>
      <c r="C1110" t="s">
        <v>1192</v>
      </c>
      <c r="D1110" t="str">
        <f>HYPERLINK("https://rhld.insurance.arkansas.gov/NPILookup?Npi=1285780718","1285780718")</f>
        <v>1285780718</v>
      </c>
      <c r="E1110" t="s">
        <v>4389</v>
      </c>
      <c r="F1110" t="s">
        <v>13</v>
      </c>
      <c r="G1110" s="20">
        <v>1</v>
      </c>
      <c r="H1110" t="s">
        <v>87</v>
      </c>
      <c r="I1110" t="s">
        <v>4357</v>
      </c>
      <c r="J1110" s="9"/>
      <c r="K1110" s="9"/>
      <c r="L1110" s="9"/>
    </row>
    <row r="1111" spans="2:12" ht="15" x14ac:dyDescent="0.25">
      <c r="B1111" t="s">
        <v>1191</v>
      </c>
      <c r="C1111" t="s">
        <v>1192</v>
      </c>
      <c r="D1111" t="str">
        <f>HYPERLINK("https://rhld.insurance.arkansas.gov/NPILookup?Npi=1245498906","1245498906")</f>
        <v>1245498906</v>
      </c>
      <c r="E1111" t="s">
        <v>1215</v>
      </c>
      <c r="F1111" t="s">
        <v>12</v>
      </c>
      <c r="G1111" s="20">
        <v>1</v>
      </c>
      <c r="H1111" t="s">
        <v>4338</v>
      </c>
      <c r="I1111" t="s">
        <v>32</v>
      </c>
      <c r="J1111" s="9"/>
      <c r="K1111" s="9"/>
      <c r="L1111" s="9"/>
    </row>
    <row r="1112" spans="2:12" ht="15" x14ac:dyDescent="0.25">
      <c r="B1112" t="s">
        <v>1191</v>
      </c>
      <c r="C1112" t="s">
        <v>1192</v>
      </c>
      <c r="D1112" t="str">
        <f>HYPERLINK("https://rhld.insurance.arkansas.gov/NPILookup?Npi=1275645400","1275645400")</f>
        <v>1275645400</v>
      </c>
      <c r="E1112" t="s">
        <v>1216</v>
      </c>
      <c r="F1112" t="s">
        <v>12</v>
      </c>
      <c r="G1112" s="20">
        <v>1</v>
      </c>
      <c r="H1112" t="s">
        <v>4338</v>
      </c>
      <c r="I1112" t="s">
        <v>32</v>
      </c>
      <c r="J1112" s="9"/>
      <c r="K1112" s="9"/>
      <c r="L1112" s="9"/>
    </row>
    <row r="1113" spans="2:12" ht="15" x14ac:dyDescent="0.25">
      <c r="B1113" t="s">
        <v>1191</v>
      </c>
      <c r="C1113" t="s">
        <v>1192</v>
      </c>
      <c r="D1113" t="str">
        <f>HYPERLINK("https://rhld.insurance.arkansas.gov/NPILookup?Npi=1275709859","1275709859")</f>
        <v>1275709859</v>
      </c>
      <c r="E1113" t="s">
        <v>1217</v>
      </c>
      <c r="F1113" t="s">
        <v>12</v>
      </c>
      <c r="G1113" s="20">
        <v>1</v>
      </c>
      <c r="H1113" t="s">
        <v>4338</v>
      </c>
      <c r="I1113" t="s">
        <v>32</v>
      </c>
      <c r="J1113" s="9"/>
      <c r="K1113" s="9"/>
      <c r="L1113" s="9"/>
    </row>
    <row r="1114" spans="2:12" ht="15" x14ac:dyDescent="0.25">
      <c r="B1114" t="s">
        <v>1191</v>
      </c>
      <c r="C1114" t="s">
        <v>1192</v>
      </c>
      <c r="D1114" t="str">
        <f>HYPERLINK("https://rhld.insurance.arkansas.gov/NPILookup?Npi=1285630095","1285630095")</f>
        <v>1285630095</v>
      </c>
      <c r="E1114" t="s">
        <v>1218</v>
      </c>
      <c r="F1114" t="s">
        <v>12</v>
      </c>
      <c r="G1114" s="20">
        <v>1</v>
      </c>
      <c r="H1114" t="s">
        <v>4338</v>
      </c>
      <c r="I1114" t="s">
        <v>32</v>
      </c>
      <c r="J1114" s="9"/>
      <c r="K1114" s="9"/>
      <c r="L1114" s="9"/>
    </row>
    <row r="1115" spans="2:12" ht="15" x14ac:dyDescent="0.25">
      <c r="B1115" t="s">
        <v>1191</v>
      </c>
      <c r="C1115" t="s">
        <v>1192</v>
      </c>
      <c r="D1115" t="str">
        <f>HYPERLINK("https://rhld.insurance.arkansas.gov/NPILookup?Npi=1306898762","1306898762")</f>
        <v>1306898762</v>
      </c>
      <c r="E1115" t="s">
        <v>4390</v>
      </c>
      <c r="F1115" t="s">
        <v>13</v>
      </c>
      <c r="G1115" s="20">
        <v>1</v>
      </c>
      <c r="H1115" t="s">
        <v>87</v>
      </c>
      <c r="I1115" t="s">
        <v>4357</v>
      </c>
      <c r="J1115" s="9"/>
      <c r="K1115" s="9"/>
      <c r="L1115" s="9"/>
    </row>
    <row r="1116" spans="2:12" ht="15" x14ac:dyDescent="0.25">
      <c r="B1116" t="s">
        <v>1191</v>
      </c>
      <c r="C1116" t="s">
        <v>1192</v>
      </c>
      <c r="D1116" t="str">
        <f>HYPERLINK("https://rhld.insurance.arkansas.gov/NPILookup?Npi=1306032438","1306032438")</f>
        <v>1306032438</v>
      </c>
      <c r="E1116" t="s">
        <v>1220</v>
      </c>
      <c r="F1116" t="s">
        <v>12</v>
      </c>
      <c r="G1116" s="20">
        <v>1</v>
      </c>
      <c r="H1116" t="s">
        <v>4338</v>
      </c>
      <c r="I1116" t="s">
        <v>32</v>
      </c>
      <c r="J1116" s="9"/>
      <c r="K1116" s="9"/>
      <c r="L1116" s="9"/>
    </row>
    <row r="1117" spans="2:12" ht="15" x14ac:dyDescent="0.25">
      <c r="B1117" t="s">
        <v>1191</v>
      </c>
      <c r="C1117" t="s">
        <v>1192</v>
      </c>
      <c r="D1117" t="str">
        <f>HYPERLINK("https://rhld.insurance.arkansas.gov/NPILookup?Npi=1316443575","1316443575")</f>
        <v>1316443575</v>
      </c>
      <c r="E1117" t="s">
        <v>4391</v>
      </c>
      <c r="F1117" t="s">
        <v>13</v>
      </c>
      <c r="G1117" s="20">
        <v>1</v>
      </c>
      <c r="H1117" t="s">
        <v>87</v>
      </c>
      <c r="I1117" t="s">
        <v>4357</v>
      </c>
      <c r="J1117" s="9"/>
      <c r="K1117" s="9"/>
      <c r="L1117" s="9"/>
    </row>
    <row r="1118" spans="2:12" ht="15" x14ac:dyDescent="0.25">
      <c r="B1118" t="s">
        <v>1191</v>
      </c>
      <c r="C1118" t="s">
        <v>1192</v>
      </c>
      <c r="D1118" t="str">
        <f>HYPERLINK("https://rhld.insurance.arkansas.gov/NPILookup?Npi=1316386915","1316386915")</f>
        <v>1316386915</v>
      </c>
      <c r="E1118" t="s">
        <v>1221</v>
      </c>
      <c r="F1118" t="s">
        <v>12</v>
      </c>
      <c r="G1118" s="20">
        <v>1</v>
      </c>
      <c r="H1118" t="s">
        <v>4338</v>
      </c>
      <c r="I1118" t="s">
        <v>32</v>
      </c>
      <c r="J1118" s="9"/>
      <c r="K1118" s="9"/>
      <c r="L1118" s="9"/>
    </row>
    <row r="1119" spans="2:12" ht="15" x14ac:dyDescent="0.25">
      <c r="B1119" t="s">
        <v>1191</v>
      </c>
      <c r="C1119" t="s">
        <v>1192</v>
      </c>
      <c r="D1119" t="str">
        <f>HYPERLINK("https://rhld.insurance.arkansas.gov/NPILookup?Npi=1326562257","1326562257")</f>
        <v>1326562257</v>
      </c>
      <c r="E1119" t="s">
        <v>4392</v>
      </c>
      <c r="F1119" t="s">
        <v>13</v>
      </c>
      <c r="G1119" s="20">
        <v>1</v>
      </c>
      <c r="H1119" t="s">
        <v>87</v>
      </c>
      <c r="I1119" t="s">
        <v>4357</v>
      </c>
      <c r="J1119" s="9"/>
      <c r="K1119" s="9"/>
      <c r="L1119" s="9"/>
    </row>
    <row r="1120" spans="2:12" ht="15" x14ac:dyDescent="0.25">
      <c r="B1120" t="s">
        <v>1191</v>
      </c>
      <c r="C1120" t="s">
        <v>1192</v>
      </c>
      <c r="D1120" t="str">
        <f>HYPERLINK("https://rhld.insurance.arkansas.gov/NPILookup?Npi=1326034547","1326034547")</f>
        <v>1326034547</v>
      </c>
      <c r="E1120" t="s">
        <v>1222</v>
      </c>
      <c r="F1120" t="s">
        <v>12</v>
      </c>
      <c r="G1120" s="20">
        <v>1</v>
      </c>
      <c r="H1120" t="s">
        <v>4338</v>
      </c>
      <c r="I1120" t="s">
        <v>32</v>
      </c>
      <c r="J1120" s="9"/>
      <c r="K1120" s="9"/>
      <c r="L1120" s="9"/>
    </row>
    <row r="1121" spans="2:12" ht="15" x14ac:dyDescent="0.25">
      <c r="B1121" t="s">
        <v>1191</v>
      </c>
      <c r="C1121" t="s">
        <v>1192</v>
      </c>
      <c r="D1121" t="str">
        <f>HYPERLINK("https://rhld.insurance.arkansas.gov/NPILookup?Npi=1326255126","1326255126")</f>
        <v>1326255126</v>
      </c>
      <c r="E1121" t="s">
        <v>1223</v>
      </c>
      <c r="F1121" t="s">
        <v>12</v>
      </c>
      <c r="G1121" s="20">
        <v>1</v>
      </c>
      <c r="H1121" t="s">
        <v>4338</v>
      </c>
      <c r="I1121" t="s">
        <v>32</v>
      </c>
      <c r="J1121" s="9"/>
      <c r="K1121" s="9"/>
      <c r="L1121" s="9"/>
    </row>
    <row r="1122" spans="2:12" ht="15" x14ac:dyDescent="0.25">
      <c r="B1122" t="s">
        <v>1191</v>
      </c>
      <c r="C1122" t="s">
        <v>1192</v>
      </c>
      <c r="D1122" t="str">
        <f>HYPERLINK("https://rhld.insurance.arkansas.gov/NPILookup?Npi=1336300771","1336300771")</f>
        <v>1336300771</v>
      </c>
      <c r="E1122" t="s">
        <v>4393</v>
      </c>
      <c r="F1122" t="s">
        <v>13</v>
      </c>
      <c r="G1122" s="20">
        <v>1</v>
      </c>
      <c r="H1122" t="s">
        <v>87</v>
      </c>
      <c r="I1122" t="s">
        <v>4357</v>
      </c>
      <c r="J1122" s="9"/>
      <c r="K1122" s="9"/>
      <c r="L1122" s="9"/>
    </row>
    <row r="1123" spans="2:12" ht="15" x14ac:dyDescent="0.25">
      <c r="B1123" t="s">
        <v>1191</v>
      </c>
      <c r="C1123" t="s">
        <v>1192</v>
      </c>
      <c r="D1123" t="str">
        <f>HYPERLINK("https://rhld.insurance.arkansas.gov/NPILookup?Npi=1336127968","1336127968")</f>
        <v>1336127968</v>
      </c>
      <c r="E1123" t="s">
        <v>1224</v>
      </c>
      <c r="F1123" t="s">
        <v>12</v>
      </c>
      <c r="G1123" s="20">
        <v>1</v>
      </c>
      <c r="H1123" t="s">
        <v>4338</v>
      </c>
      <c r="I1123" t="s">
        <v>32</v>
      </c>
      <c r="J1123" s="9"/>
      <c r="K1123" s="9"/>
      <c r="L1123" s="9"/>
    </row>
    <row r="1124" spans="2:12" ht="15" x14ac:dyDescent="0.25">
      <c r="B1124" t="s">
        <v>1191</v>
      </c>
      <c r="C1124" t="s">
        <v>1192</v>
      </c>
      <c r="D1124" t="str">
        <f>HYPERLINK("https://rhld.insurance.arkansas.gov/NPILookup?Npi=1336141902","1336141902")</f>
        <v>1336141902</v>
      </c>
      <c r="E1124" t="s">
        <v>1225</v>
      </c>
      <c r="F1124" t="s">
        <v>12</v>
      </c>
      <c r="G1124" s="20">
        <v>1</v>
      </c>
      <c r="H1124" t="s">
        <v>4338</v>
      </c>
      <c r="I1124" t="s">
        <v>32</v>
      </c>
      <c r="J1124" s="9"/>
      <c r="K1124" s="9"/>
      <c r="L1124" s="9"/>
    </row>
    <row r="1125" spans="2:12" ht="15" x14ac:dyDescent="0.25">
      <c r="B1125" t="s">
        <v>1191</v>
      </c>
      <c r="C1125" t="s">
        <v>1192</v>
      </c>
      <c r="D1125" t="str">
        <f>HYPERLINK("https://rhld.insurance.arkansas.gov/NPILookup?Npi=1336672476","1336672476")</f>
        <v>1336672476</v>
      </c>
      <c r="E1125" t="s">
        <v>4394</v>
      </c>
      <c r="F1125" t="s">
        <v>13</v>
      </c>
      <c r="G1125" s="20">
        <v>1</v>
      </c>
      <c r="H1125" t="s">
        <v>87</v>
      </c>
      <c r="I1125" t="s">
        <v>4357</v>
      </c>
      <c r="J1125" s="9"/>
      <c r="K1125" s="9"/>
      <c r="L1125" s="9"/>
    </row>
    <row r="1126" spans="2:12" ht="15" x14ac:dyDescent="0.25">
      <c r="B1126" t="s">
        <v>1191</v>
      </c>
      <c r="C1126" t="s">
        <v>1192</v>
      </c>
      <c r="D1126" t="str">
        <f>HYPERLINK("https://rhld.insurance.arkansas.gov/NPILookup?Npi=1356436000","1356436000")</f>
        <v>1356436000</v>
      </c>
      <c r="E1126" t="s">
        <v>4395</v>
      </c>
      <c r="F1126" t="s">
        <v>13</v>
      </c>
      <c r="G1126" s="20">
        <v>1</v>
      </c>
      <c r="H1126" t="s">
        <v>87</v>
      </c>
      <c r="I1126" t="s">
        <v>4357</v>
      </c>
      <c r="J1126" s="9"/>
      <c r="K1126" s="9"/>
      <c r="L1126" s="9"/>
    </row>
    <row r="1127" spans="2:12" ht="15" x14ac:dyDescent="0.25">
      <c r="B1127" t="s">
        <v>1191</v>
      </c>
      <c r="C1127" t="s">
        <v>1192</v>
      </c>
      <c r="D1127" t="str">
        <f>HYPERLINK("https://rhld.insurance.arkansas.gov/NPILookup?Npi=1366786451","1366786451")</f>
        <v>1366786451</v>
      </c>
      <c r="E1127" t="s">
        <v>4396</v>
      </c>
      <c r="F1127" t="s">
        <v>13</v>
      </c>
      <c r="G1127" s="20">
        <v>1</v>
      </c>
      <c r="H1127" t="s">
        <v>87</v>
      </c>
      <c r="I1127" t="s">
        <v>4357</v>
      </c>
      <c r="J1127" s="9"/>
      <c r="K1127" s="9"/>
      <c r="L1127" s="9"/>
    </row>
    <row r="1128" spans="2:12" ht="15" x14ac:dyDescent="0.25">
      <c r="B1128" t="s">
        <v>1191</v>
      </c>
      <c r="C1128" t="s">
        <v>1192</v>
      </c>
      <c r="D1128" t="str">
        <f>HYPERLINK("https://rhld.insurance.arkansas.gov/NPILookup?Npi=1366470544","1366470544")</f>
        <v>1366470544</v>
      </c>
      <c r="E1128" t="s">
        <v>1042</v>
      </c>
      <c r="F1128" t="s">
        <v>12</v>
      </c>
      <c r="G1128" s="20">
        <v>1</v>
      </c>
      <c r="H1128" t="s">
        <v>4338</v>
      </c>
      <c r="I1128" t="s">
        <v>32</v>
      </c>
      <c r="J1128" s="9"/>
      <c r="K1128" s="9"/>
      <c r="L1128" s="9"/>
    </row>
    <row r="1129" spans="2:12" ht="15" x14ac:dyDescent="0.25">
      <c r="B1129" t="s">
        <v>1191</v>
      </c>
      <c r="C1129" t="s">
        <v>1192</v>
      </c>
      <c r="D1129" t="str">
        <f>HYPERLINK("https://rhld.insurance.arkansas.gov/NPILookup?Npi=1366647224","1366647224")</f>
        <v>1366647224</v>
      </c>
      <c r="E1129" t="s">
        <v>1226</v>
      </c>
      <c r="F1129" t="s">
        <v>12</v>
      </c>
      <c r="G1129" s="20">
        <v>1</v>
      </c>
      <c r="H1129" t="s">
        <v>4338</v>
      </c>
      <c r="I1129" t="s">
        <v>4357</v>
      </c>
      <c r="J1129" s="9"/>
      <c r="K1129" s="9"/>
      <c r="L1129" s="9"/>
    </row>
    <row r="1130" spans="2:12" ht="15" x14ac:dyDescent="0.25">
      <c r="B1130" t="s">
        <v>1191</v>
      </c>
      <c r="C1130" t="s">
        <v>1192</v>
      </c>
      <c r="D1130" t="str">
        <f>HYPERLINK("https://rhld.insurance.arkansas.gov/NPILookup?Npi=1386842284","1386842284")</f>
        <v>1386842284</v>
      </c>
      <c r="E1130" t="s">
        <v>4397</v>
      </c>
      <c r="F1130" t="s">
        <v>13</v>
      </c>
      <c r="G1130" s="20">
        <v>1</v>
      </c>
      <c r="H1130" t="s">
        <v>87</v>
      </c>
      <c r="I1130" t="s">
        <v>4357</v>
      </c>
      <c r="J1130" s="9"/>
      <c r="K1130" s="9"/>
      <c r="L1130" s="9"/>
    </row>
    <row r="1131" spans="2:12" ht="15" x14ac:dyDescent="0.25">
      <c r="B1131" t="s">
        <v>1191</v>
      </c>
      <c r="C1131" t="s">
        <v>1192</v>
      </c>
      <c r="D1131" t="str">
        <f>HYPERLINK("https://rhld.insurance.arkansas.gov/NPILookup?Npi=1376749333","1376749333")</f>
        <v>1376749333</v>
      </c>
      <c r="E1131" t="s">
        <v>1227</v>
      </c>
      <c r="F1131" t="s">
        <v>12</v>
      </c>
      <c r="G1131" s="20">
        <v>1</v>
      </c>
      <c r="H1131" t="s">
        <v>4338</v>
      </c>
      <c r="I1131" t="s">
        <v>32</v>
      </c>
      <c r="J1131" s="9"/>
      <c r="K1131" s="9"/>
      <c r="L1131" s="9"/>
    </row>
    <row r="1132" spans="2:12" ht="15" x14ac:dyDescent="0.25">
      <c r="B1132" t="s">
        <v>1191</v>
      </c>
      <c r="C1132" t="s">
        <v>1192</v>
      </c>
      <c r="D1132" t="str">
        <f>HYPERLINK("https://rhld.insurance.arkansas.gov/NPILookup?Npi=1407111313","1407111313")</f>
        <v>1407111313</v>
      </c>
      <c r="E1132" t="s">
        <v>1228</v>
      </c>
      <c r="F1132" t="s">
        <v>13</v>
      </c>
      <c r="G1132" s="20">
        <v>2</v>
      </c>
      <c r="H1132" t="s">
        <v>439</v>
      </c>
      <c r="I1132" t="s">
        <v>4357</v>
      </c>
      <c r="J1132" s="9"/>
      <c r="K1132" s="9"/>
      <c r="L1132" s="9"/>
    </row>
    <row r="1133" spans="2:12" ht="15" x14ac:dyDescent="0.25">
      <c r="B1133" t="s">
        <v>1191</v>
      </c>
      <c r="C1133" t="s">
        <v>1192</v>
      </c>
      <c r="D1133" t="str">
        <f>HYPERLINK("https://rhld.insurance.arkansas.gov/NPILookup?Npi=1407111461","1407111461")</f>
        <v>1407111461</v>
      </c>
      <c r="E1133" t="s">
        <v>4398</v>
      </c>
      <c r="F1133" t="s">
        <v>13</v>
      </c>
      <c r="G1133" s="20">
        <v>1</v>
      </c>
      <c r="H1133" t="s">
        <v>87</v>
      </c>
      <c r="I1133" t="s">
        <v>4357</v>
      </c>
      <c r="J1133" s="9"/>
      <c r="K1133" s="9"/>
      <c r="L1133" s="9"/>
    </row>
    <row r="1134" spans="2:12" ht="15" x14ac:dyDescent="0.25">
      <c r="B1134" t="s">
        <v>1191</v>
      </c>
      <c r="C1134" t="s">
        <v>1192</v>
      </c>
      <c r="D1134" t="str">
        <f>HYPERLINK("https://rhld.insurance.arkansas.gov/NPILookup?Npi=1407901382","1407901382")</f>
        <v>1407901382</v>
      </c>
      <c r="E1134" t="s">
        <v>4399</v>
      </c>
      <c r="F1134" t="s">
        <v>13</v>
      </c>
      <c r="G1134" s="20">
        <v>1</v>
      </c>
      <c r="H1134" t="s">
        <v>87</v>
      </c>
      <c r="I1134" t="s">
        <v>4357</v>
      </c>
      <c r="J1134" s="9"/>
      <c r="K1134" s="9"/>
      <c r="L1134" s="9"/>
    </row>
    <row r="1135" spans="2:12" ht="15" x14ac:dyDescent="0.25">
      <c r="B1135" t="s">
        <v>1191</v>
      </c>
      <c r="C1135" t="s">
        <v>1192</v>
      </c>
      <c r="D1135" t="str">
        <f>HYPERLINK("https://rhld.insurance.arkansas.gov/NPILookup?Npi=1417343922","1417343922")</f>
        <v>1417343922</v>
      </c>
      <c r="E1135" t="s">
        <v>4400</v>
      </c>
      <c r="F1135" t="s">
        <v>13</v>
      </c>
      <c r="G1135" s="20">
        <v>1</v>
      </c>
      <c r="H1135" t="s">
        <v>87</v>
      </c>
      <c r="I1135" t="s">
        <v>4357</v>
      </c>
      <c r="J1135" s="9"/>
      <c r="K1135" s="9"/>
      <c r="L1135" s="9"/>
    </row>
    <row r="1136" spans="2:12" ht="15" x14ac:dyDescent="0.25">
      <c r="B1136" t="s">
        <v>1191</v>
      </c>
      <c r="C1136" t="s">
        <v>1192</v>
      </c>
      <c r="D1136" t="str">
        <f>HYPERLINK("https://rhld.insurance.arkansas.gov/NPILookup?Npi=1417445677","1417445677")</f>
        <v>1417445677</v>
      </c>
      <c r="E1136" t="s">
        <v>4401</v>
      </c>
      <c r="F1136" t="s">
        <v>13</v>
      </c>
      <c r="G1136" s="20">
        <v>1</v>
      </c>
      <c r="H1136" t="s">
        <v>87</v>
      </c>
      <c r="I1136" t="s">
        <v>4357</v>
      </c>
      <c r="J1136" s="9"/>
      <c r="K1136" s="9"/>
      <c r="L1136" s="9"/>
    </row>
    <row r="1137" spans="2:12" ht="15" x14ac:dyDescent="0.25">
      <c r="B1137" t="s">
        <v>1191</v>
      </c>
      <c r="C1137" t="s">
        <v>1192</v>
      </c>
      <c r="D1137" t="str">
        <f>HYPERLINK("https://rhld.insurance.arkansas.gov/NPILookup?Npi=1427157270","1427157270")</f>
        <v>1427157270</v>
      </c>
      <c r="E1137" t="s">
        <v>4402</v>
      </c>
      <c r="F1137" t="s">
        <v>13</v>
      </c>
      <c r="G1137" s="20">
        <v>1</v>
      </c>
      <c r="H1137" t="s">
        <v>87</v>
      </c>
      <c r="I1137" t="s">
        <v>4357</v>
      </c>
      <c r="J1137" s="9"/>
      <c r="K1137" s="9"/>
      <c r="L1137" s="9"/>
    </row>
    <row r="1138" spans="2:12" ht="15" x14ac:dyDescent="0.25">
      <c r="B1138" t="s">
        <v>1191</v>
      </c>
      <c r="C1138" t="s">
        <v>1192</v>
      </c>
      <c r="D1138" t="str">
        <f>HYPERLINK("https://rhld.insurance.arkansas.gov/NPILookup?Npi=1427056894","1427056894")</f>
        <v>1427056894</v>
      </c>
      <c r="E1138" t="s">
        <v>1229</v>
      </c>
      <c r="F1138" t="s">
        <v>12</v>
      </c>
      <c r="G1138" s="20">
        <v>1</v>
      </c>
      <c r="H1138" t="s">
        <v>4338</v>
      </c>
      <c r="I1138" t="s">
        <v>4357</v>
      </c>
      <c r="J1138" s="9"/>
      <c r="K1138" s="9"/>
      <c r="L1138" s="9"/>
    </row>
    <row r="1139" spans="2:12" ht="15" x14ac:dyDescent="0.25">
      <c r="B1139" t="s">
        <v>1191</v>
      </c>
      <c r="C1139" t="s">
        <v>1192</v>
      </c>
      <c r="D1139" t="str">
        <f>HYPERLINK("https://rhld.insurance.arkansas.gov/NPILookup?Npi=1427061175","1427061175")</f>
        <v>1427061175</v>
      </c>
      <c r="E1139" t="s">
        <v>1230</v>
      </c>
      <c r="F1139" t="s">
        <v>12</v>
      </c>
      <c r="G1139" s="20">
        <v>1</v>
      </c>
      <c r="H1139" t="s">
        <v>4338</v>
      </c>
      <c r="I1139" t="s">
        <v>32</v>
      </c>
      <c r="J1139" s="9"/>
      <c r="K1139" s="9"/>
      <c r="L1139" s="9"/>
    </row>
    <row r="1140" spans="2:12" ht="15" x14ac:dyDescent="0.25">
      <c r="B1140" t="s">
        <v>1191</v>
      </c>
      <c r="C1140" t="s">
        <v>1192</v>
      </c>
      <c r="D1140" t="str">
        <f>HYPERLINK("https://rhld.insurance.arkansas.gov/NPILookup?Npi=1427476456","1427476456")</f>
        <v>1427476456</v>
      </c>
      <c r="E1140" t="s">
        <v>4403</v>
      </c>
      <c r="F1140" t="s">
        <v>13</v>
      </c>
      <c r="G1140" s="20">
        <v>1</v>
      </c>
      <c r="H1140" t="s">
        <v>87</v>
      </c>
      <c r="I1140" t="s">
        <v>4357</v>
      </c>
      <c r="J1140" s="9"/>
      <c r="K1140" s="9"/>
      <c r="L1140" s="9"/>
    </row>
    <row r="1141" spans="2:12" ht="15" x14ac:dyDescent="0.25">
      <c r="B1141" t="s">
        <v>1191</v>
      </c>
      <c r="C1141" t="s">
        <v>1192</v>
      </c>
      <c r="D1141" t="str">
        <f>HYPERLINK("https://rhld.insurance.arkansas.gov/NPILookup?Npi=1427276823","1427276823")</f>
        <v>1427276823</v>
      </c>
      <c r="E1141" t="s">
        <v>1231</v>
      </c>
      <c r="F1141" t="s">
        <v>12</v>
      </c>
      <c r="G1141" s="20">
        <v>1</v>
      </c>
      <c r="H1141" t="s">
        <v>4338</v>
      </c>
      <c r="I1141" t="s">
        <v>4357</v>
      </c>
      <c r="J1141" s="9"/>
      <c r="K1141" s="9"/>
      <c r="L1141" s="9"/>
    </row>
    <row r="1142" spans="2:12" ht="15" x14ac:dyDescent="0.25">
      <c r="B1142" t="s">
        <v>1191</v>
      </c>
      <c r="C1142" t="s">
        <v>1192</v>
      </c>
      <c r="D1142" t="str">
        <f>HYPERLINK("https://rhld.insurance.arkansas.gov/NPILookup?Npi=1477787067","1477787067")</f>
        <v>1477787067</v>
      </c>
      <c r="E1142" t="s">
        <v>4404</v>
      </c>
      <c r="F1142" t="s">
        <v>13</v>
      </c>
      <c r="G1142" s="20">
        <v>1</v>
      </c>
      <c r="H1142" t="s">
        <v>87</v>
      </c>
      <c r="I1142" t="s">
        <v>4357</v>
      </c>
      <c r="J1142" s="9"/>
      <c r="K1142" s="9"/>
      <c r="L1142" s="9"/>
    </row>
    <row r="1143" spans="2:12" ht="15" x14ac:dyDescent="0.25">
      <c r="B1143" t="s">
        <v>1191</v>
      </c>
      <c r="C1143" t="s">
        <v>1192</v>
      </c>
      <c r="D1143" t="str">
        <f>HYPERLINK("https://rhld.insurance.arkansas.gov/NPILookup?Npi=1437418746","1437418746")</f>
        <v>1437418746</v>
      </c>
      <c r="E1143" t="s">
        <v>1232</v>
      </c>
      <c r="F1143" t="s">
        <v>12</v>
      </c>
      <c r="G1143" s="20">
        <v>1</v>
      </c>
      <c r="H1143" t="s">
        <v>4338</v>
      </c>
      <c r="I1143" t="s">
        <v>4357</v>
      </c>
      <c r="J1143" s="9"/>
      <c r="K1143" s="9"/>
      <c r="L1143" s="9"/>
    </row>
    <row r="1144" spans="2:12" ht="15" x14ac:dyDescent="0.25">
      <c r="B1144" t="s">
        <v>1191</v>
      </c>
      <c r="C1144" t="s">
        <v>1192</v>
      </c>
      <c r="D1144" t="str">
        <f>HYPERLINK("https://rhld.insurance.arkansas.gov/NPILookup?Npi=1477503597","1477503597")</f>
        <v>1477503597</v>
      </c>
      <c r="E1144" t="s">
        <v>1233</v>
      </c>
      <c r="F1144" t="s">
        <v>12</v>
      </c>
      <c r="G1144" s="20">
        <v>1</v>
      </c>
      <c r="H1144" t="s">
        <v>4338</v>
      </c>
      <c r="I1144" t="s">
        <v>32</v>
      </c>
      <c r="J1144" s="9"/>
      <c r="K1144" s="9"/>
      <c r="L1144" s="9"/>
    </row>
    <row r="1145" spans="2:12" ht="15" x14ac:dyDescent="0.25">
      <c r="B1145" t="s">
        <v>1191</v>
      </c>
      <c r="C1145" t="s">
        <v>1192</v>
      </c>
      <c r="D1145" t="str">
        <f>HYPERLINK("https://rhld.insurance.arkansas.gov/NPILookup?Npi=1477747582","1477747582")</f>
        <v>1477747582</v>
      </c>
      <c r="E1145" t="s">
        <v>1234</v>
      </c>
      <c r="F1145" t="s">
        <v>12</v>
      </c>
      <c r="G1145" s="20">
        <v>1</v>
      </c>
      <c r="H1145" t="s">
        <v>4338</v>
      </c>
      <c r="I1145" t="s">
        <v>32</v>
      </c>
      <c r="J1145" s="9"/>
      <c r="K1145" s="9"/>
      <c r="L1145" s="9"/>
    </row>
    <row r="1146" spans="2:12" ht="15" x14ac:dyDescent="0.25">
      <c r="B1146" t="s">
        <v>1191</v>
      </c>
      <c r="C1146" t="s">
        <v>1192</v>
      </c>
      <c r="D1146" t="str">
        <f>HYPERLINK("https://rhld.insurance.arkansas.gov/NPILookup?Npi=1508138314","1508138314")</f>
        <v>1508138314</v>
      </c>
      <c r="E1146" t="s">
        <v>4405</v>
      </c>
      <c r="F1146" t="s">
        <v>13</v>
      </c>
      <c r="G1146" s="20">
        <v>1</v>
      </c>
      <c r="H1146" t="s">
        <v>87</v>
      </c>
      <c r="I1146" t="s">
        <v>4357</v>
      </c>
      <c r="J1146" s="9"/>
      <c r="K1146" s="9"/>
      <c r="L1146" s="9"/>
    </row>
    <row r="1147" spans="2:12" ht="15" x14ac:dyDescent="0.25">
      <c r="B1147" t="s">
        <v>1191</v>
      </c>
      <c r="C1147" t="s">
        <v>1192</v>
      </c>
      <c r="D1147" t="str">
        <f>HYPERLINK("https://rhld.insurance.arkansas.gov/NPILookup?Npi=1477796365","1477796365")</f>
        <v>1477796365</v>
      </c>
      <c r="E1147" t="s">
        <v>1235</v>
      </c>
      <c r="F1147" t="s">
        <v>12</v>
      </c>
      <c r="G1147" s="20">
        <v>1</v>
      </c>
      <c r="H1147" t="s">
        <v>4338</v>
      </c>
      <c r="I1147" t="s">
        <v>32</v>
      </c>
      <c r="J1147" s="9"/>
      <c r="K1147" s="9"/>
      <c r="L1147" s="9"/>
    </row>
    <row r="1148" spans="2:12" ht="15" x14ac:dyDescent="0.25">
      <c r="B1148" t="s">
        <v>1191</v>
      </c>
      <c r="C1148" t="s">
        <v>1192</v>
      </c>
      <c r="D1148" t="str">
        <f>HYPERLINK("https://rhld.insurance.arkansas.gov/NPILookup?Npi=1477871424","1477871424")</f>
        <v>1477871424</v>
      </c>
      <c r="E1148" t="s">
        <v>1236</v>
      </c>
      <c r="F1148" t="s">
        <v>12</v>
      </c>
      <c r="G1148" s="20">
        <v>1</v>
      </c>
      <c r="H1148" t="s">
        <v>4338</v>
      </c>
      <c r="I1148" t="s">
        <v>32</v>
      </c>
      <c r="J1148" s="9"/>
      <c r="K1148" s="9"/>
      <c r="L1148" s="9"/>
    </row>
    <row r="1149" spans="2:12" ht="15" x14ac:dyDescent="0.25">
      <c r="B1149" t="s">
        <v>1191</v>
      </c>
      <c r="C1149" t="s">
        <v>1192</v>
      </c>
      <c r="D1149" t="str">
        <f>HYPERLINK("https://rhld.insurance.arkansas.gov/NPILookup?Npi=1497701692","1497701692")</f>
        <v>1497701692</v>
      </c>
      <c r="E1149" t="s">
        <v>1237</v>
      </c>
      <c r="F1149" t="s">
        <v>12</v>
      </c>
      <c r="G1149" s="20">
        <v>1</v>
      </c>
      <c r="H1149" t="s">
        <v>4338</v>
      </c>
      <c r="I1149" t="s">
        <v>32</v>
      </c>
      <c r="J1149" s="9"/>
      <c r="K1149" s="9"/>
      <c r="L1149" s="9"/>
    </row>
    <row r="1150" spans="2:12" ht="15" x14ac:dyDescent="0.25">
      <c r="B1150" t="s">
        <v>1191</v>
      </c>
      <c r="C1150" t="s">
        <v>1192</v>
      </c>
      <c r="D1150" t="str">
        <f>HYPERLINK("https://rhld.insurance.arkansas.gov/NPILookup?Npi=1508077884","1508077884")</f>
        <v>1508077884</v>
      </c>
      <c r="E1150" t="s">
        <v>1238</v>
      </c>
      <c r="F1150" t="s">
        <v>12</v>
      </c>
      <c r="G1150" s="20">
        <v>1</v>
      </c>
      <c r="H1150" t="s">
        <v>4338</v>
      </c>
      <c r="I1150" t="s">
        <v>32</v>
      </c>
      <c r="J1150" s="9"/>
      <c r="K1150" s="9"/>
      <c r="L1150" s="9"/>
    </row>
    <row r="1151" spans="2:12" ht="15" x14ac:dyDescent="0.25">
      <c r="B1151" t="s">
        <v>1191</v>
      </c>
      <c r="C1151" t="s">
        <v>1192</v>
      </c>
      <c r="D1151" t="str">
        <f>HYPERLINK("https://rhld.insurance.arkansas.gov/NPILookup?Npi=1508245572","1508245572")</f>
        <v>1508245572</v>
      </c>
      <c r="E1151" t="s">
        <v>1239</v>
      </c>
      <c r="F1151" t="s">
        <v>13</v>
      </c>
      <c r="G1151" s="20">
        <v>2</v>
      </c>
      <c r="H1151" t="s">
        <v>439</v>
      </c>
      <c r="I1151" t="s">
        <v>4357</v>
      </c>
      <c r="J1151" s="9"/>
      <c r="K1151" s="9"/>
      <c r="L1151" s="9"/>
    </row>
    <row r="1152" spans="2:12" ht="15" x14ac:dyDescent="0.25">
      <c r="B1152" t="s">
        <v>1191</v>
      </c>
      <c r="C1152" t="s">
        <v>1192</v>
      </c>
      <c r="D1152" t="str">
        <f>HYPERLINK("https://rhld.insurance.arkansas.gov/NPILookup?Npi=1508419482","1508419482")</f>
        <v>1508419482</v>
      </c>
      <c r="E1152" t="s">
        <v>1240</v>
      </c>
      <c r="F1152" t="s">
        <v>13</v>
      </c>
      <c r="G1152" s="20">
        <v>2</v>
      </c>
      <c r="H1152" t="s">
        <v>439</v>
      </c>
      <c r="I1152" t="s">
        <v>4357</v>
      </c>
      <c r="J1152" s="9"/>
      <c r="K1152" s="9"/>
      <c r="L1152" s="9"/>
    </row>
    <row r="1153" spans="2:12" ht="15" x14ac:dyDescent="0.25">
      <c r="B1153" t="s">
        <v>1191</v>
      </c>
      <c r="C1153" t="s">
        <v>1192</v>
      </c>
      <c r="D1153" t="str">
        <f>HYPERLINK("https://rhld.insurance.arkansas.gov/NPILookup?Npi=1508971920","1508971920")</f>
        <v>1508971920</v>
      </c>
      <c r="E1153" t="s">
        <v>4406</v>
      </c>
      <c r="F1153" t="s">
        <v>13</v>
      </c>
      <c r="G1153" s="20">
        <v>1</v>
      </c>
      <c r="H1153" t="s">
        <v>87</v>
      </c>
      <c r="I1153" t="s">
        <v>4357</v>
      </c>
      <c r="J1153" s="9"/>
      <c r="K1153" s="9"/>
      <c r="L1153" s="9"/>
    </row>
    <row r="1154" spans="2:12" ht="15" x14ac:dyDescent="0.25">
      <c r="B1154" t="s">
        <v>1191</v>
      </c>
      <c r="C1154" t="s">
        <v>1192</v>
      </c>
      <c r="D1154" t="str">
        <f>HYPERLINK("https://rhld.insurance.arkansas.gov/NPILookup?Npi=1528494689","1528494689")</f>
        <v>1528494689</v>
      </c>
      <c r="E1154" t="s">
        <v>4407</v>
      </c>
      <c r="F1154" t="s">
        <v>13</v>
      </c>
      <c r="G1154" s="20">
        <v>1</v>
      </c>
      <c r="H1154" t="s">
        <v>87</v>
      </c>
      <c r="I1154" t="s">
        <v>4357</v>
      </c>
      <c r="J1154" s="9"/>
      <c r="K1154" s="9"/>
      <c r="L1154" s="9"/>
    </row>
    <row r="1155" spans="2:12" ht="15" x14ac:dyDescent="0.25">
      <c r="B1155" t="s">
        <v>1191</v>
      </c>
      <c r="C1155" t="s">
        <v>1192</v>
      </c>
      <c r="D1155" t="str">
        <f>HYPERLINK("https://rhld.insurance.arkansas.gov/NPILookup?Npi=1528051687","1528051687")</f>
        <v>1528051687</v>
      </c>
      <c r="E1155" t="s">
        <v>1241</v>
      </c>
      <c r="F1155" t="s">
        <v>12</v>
      </c>
      <c r="G1155" s="20">
        <v>1</v>
      </c>
      <c r="H1155" t="s">
        <v>4338</v>
      </c>
      <c r="I1155" t="s">
        <v>32</v>
      </c>
      <c r="J1155" s="9"/>
      <c r="K1155" s="9"/>
      <c r="L1155" s="9"/>
    </row>
    <row r="1156" spans="2:12" ht="15" x14ac:dyDescent="0.25">
      <c r="B1156" t="s">
        <v>1191</v>
      </c>
      <c r="C1156" t="s">
        <v>1192</v>
      </c>
      <c r="D1156" t="str">
        <f>HYPERLINK("https://rhld.insurance.arkansas.gov/NPILookup?Npi=1538503131","1538503131")</f>
        <v>1538503131</v>
      </c>
      <c r="E1156" t="s">
        <v>4408</v>
      </c>
      <c r="F1156" t="s">
        <v>13</v>
      </c>
      <c r="G1156" s="20">
        <v>1</v>
      </c>
      <c r="H1156" t="s">
        <v>87</v>
      </c>
      <c r="I1156" t="s">
        <v>4357</v>
      </c>
      <c r="J1156" s="9"/>
      <c r="K1156" s="9"/>
      <c r="L1156" s="9"/>
    </row>
    <row r="1157" spans="2:12" ht="15" x14ac:dyDescent="0.25">
      <c r="B1157" t="s">
        <v>1191</v>
      </c>
      <c r="C1157" t="s">
        <v>1192</v>
      </c>
      <c r="D1157" t="str">
        <f>HYPERLINK("https://rhld.insurance.arkansas.gov/NPILookup?Npi=1538515465","1538515465")</f>
        <v>1538515465</v>
      </c>
      <c r="E1157" t="s">
        <v>4409</v>
      </c>
      <c r="F1157" t="s">
        <v>13</v>
      </c>
      <c r="G1157" s="20">
        <v>1</v>
      </c>
      <c r="H1157" t="s">
        <v>87</v>
      </c>
      <c r="I1157" t="s">
        <v>4357</v>
      </c>
      <c r="J1157" s="9"/>
      <c r="K1157" s="9"/>
      <c r="L1157" s="9"/>
    </row>
    <row r="1158" spans="2:12" ht="15" x14ac:dyDescent="0.25">
      <c r="B1158" t="s">
        <v>1191</v>
      </c>
      <c r="C1158" t="s">
        <v>1192</v>
      </c>
      <c r="D1158" t="str">
        <f>HYPERLINK("https://rhld.insurance.arkansas.gov/NPILookup?Npi=1548200116","1548200116")</f>
        <v>1548200116</v>
      </c>
      <c r="E1158" t="s">
        <v>4410</v>
      </c>
      <c r="F1158" t="s">
        <v>13</v>
      </c>
      <c r="G1158" s="20">
        <v>1</v>
      </c>
      <c r="H1158" t="s">
        <v>87</v>
      </c>
      <c r="I1158" t="s">
        <v>4357</v>
      </c>
      <c r="J1158" s="9"/>
      <c r="K1158" s="9"/>
      <c r="L1158" s="9"/>
    </row>
    <row r="1159" spans="2:12" ht="15" x14ac:dyDescent="0.25">
      <c r="B1159" t="s">
        <v>1191</v>
      </c>
      <c r="C1159" t="s">
        <v>1192</v>
      </c>
      <c r="D1159" t="str">
        <f>HYPERLINK("https://rhld.insurance.arkansas.gov/NPILookup?Npi=1538621933","1538621933")</f>
        <v>1538621933</v>
      </c>
      <c r="E1159" t="s">
        <v>1242</v>
      </c>
      <c r="F1159" t="s">
        <v>12</v>
      </c>
      <c r="G1159" s="20">
        <v>1</v>
      </c>
      <c r="H1159" t="s">
        <v>4338</v>
      </c>
      <c r="I1159" t="s">
        <v>32</v>
      </c>
      <c r="J1159" s="9"/>
      <c r="K1159" s="9"/>
      <c r="L1159" s="9"/>
    </row>
    <row r="1160" spans="2:12" ht="15" x14ac:dyDescent="0.25">
      <c r="B1160" t="s">
        <v>1191</v>
      </c>
      <c r="C1160" t="s">
        <v>1192</v>
      </c>
      <c r="D1160" t="str">
        <f>HYPERLINK("https://rhld.insurance.arkansas.gov/NPILookup?Npi=1558724799","1558724799")</f>
        <v>1558724799</v>
      </c>
      <c r="E1160" t="s">
        <v>4411</v>
      </c>
      <c r="F1160" t="s">
        <v>13</v>
      </c>
      <c r="G1160" s="20">
        <v>1</v>
      </c>
      <c r="H1160" t="s">
        <v>87</v>
      </c>
      <c r="I1160" t="s">
        <v>4357</v>
      </c>
      <c r="J1160" s="9"/>
      <c r="K1160" s="9"/>
      <c r="L1160" s="9"/>
    </row>
    <row r="1161" spans="2:12" ht="15" x14ac:dyDescent="0.25">
      <c r="B1161" t="s">
        <v>1191</v>
      </c>
      <c r="C1161" t="s">
        <v>1192</v>
      </c>
      <c r="D1161" t="str">
        <f>HYPERLINK("https://rhld.insurance.arkansas.gov/NPILookup?Npi=1568090058","1568090058")</f>
        <v>1568090058</v>
      </c>
      <c r="E1161" t="s">
        <v>4412</v>
      </c>
      <c r="F1161" t="s">
        <v>13</v>
      </c>
      <c r="G1161" s="20">
        <v>1</v>
      </c>
      <c r="H1161" t="s">
        <v>87</v>
      </c>
      <c r="I1161" t="s">
        <v>4357</v>
      </c>
      <c r="J1161" s="9"/>
      <c r="K1161" s="9"/>
      <c r="L1161" s="9"/>
    </row>
    <row r="1162" spans="2:12" ht="15" x14ac:dyDescent="0.25">
      <c r="B1162" t="s">
        <v>1191</v>
      </c>
      <c r="C1162" t="s">
        <v>1192</v>
      </c>
      <c r="D1162" t="str">
        <f>HYPERLINK("https://rhld.insurance.arkansas.gov/NPILookup?Npi=1568620136","1568620136")</f>
        <v>1568620136</v>
      </c>
      <c r="E1162" t="s">
        <v>4413</v>
      </c>
      <c r="F1162" t="s">
        <v>13</v>
      </c>
      <c r="G1162" s="20">
        <v>1</v>
      </c>
      <c r="H1162" t="s">
        <v>87</v>
      </c>
      <c r="I1162" t="s">
        <v>4357</v>
      </c>
      <c r="J1162" s="9"/>
      <c r="K1162" s="9"/>
      <c r="L1162" s="9"/>
    </row>
    <row r="1163" spans="2:12" ht="15" x14ac:dyDescent="0.25">
      <c r="B1163" t="s">
        <v>1191</v>
      </c>
      <c r="C1163" t="s">
        <v>1192</v>
      </c>
      <c r="D1163" t="str">
        <f>HYPERLINK("https://rhld.insurance.arkansas.gov/NPILookup?Npi=1568591238","1568591238")</f>
        <v>1568591238</v>
      </c>
      <c r="E1163" t="s">
        <v>1243</v>
      </c>
      <c r="F1163" t="s">
        <v>12</v>
      </c>
      <c r="G1163" s="20">
        <v>1</v>
      </c>
      <c r="H1163" t="s">
        <v>4338</v>
      </c>
      <c r="I1163" t="s">
        <v>32</v>
      </c>
      <c r="J1163" s="9"/>
      <c r="K1163" s="9"/>
      <c r="L1163" s="9"/>
    </row>
    <row r="1164" spans="2:12" ht="15" x14ac:dyDescent="0.25">
      <c r="B1164" t="s">
        <v>1191</v>
      </c>
      <c r="C1164" t="s">
        <v>1192</v>
      </c>
      <c r="D1164" t="str">
        <f>HYPERLINK("https://rhld.insurance.arkansas.gov/NPILookup?Npi=1568921864","1568921864")</f>
        <v>1568921864</v>
      </c>
      <c r="E1164" t="s">
        <v>4414</v>
      </c>
      <c r="F1164" t="s">
        <v>13</v>
      </c>
      <c r="G1164" s="20">
        <v>1</v>
      </c>
      <c r="H1164" t="s">
        <v>87</v>
      </c>
      <c r="I1164" t="s">
        <v>4357</v>
      </c>
      <c r="J1164" s="9"/>
      <c r="K1164" s="9"/>
      <c r="L1164" s="9"/>
    </row>
    <row r="1165" spans="2:12" ht="15" x14ac:dyDescent="0.25">
      <c r="B1165" t="s">
        <v>1191</v>
      </c>
      <c r="C1165" t="s">
        <v>1192</v>
      </c>
      <c r="D1165" t="str">
        <f>HYPERLINK("https://rhld.insurance.arkansas.gov/NPILookup?Npi=1578060075","1578060075")</f>
        <v>1578060075</v>
      </c>
      <c r="E1165" t="s">
        <v>4415</v>
      </c>
      <c r="F1165" t="s">
        <v>13</v>
      </c>
      <c r="G1165" s="20">
        <v>1</v>
      </c>
      <c r="H1165" t="s">
        <v>87</v>
      </c>
      <c r="I1165" t="s">
        <v>4357</v>
      </c>
      <c r="J1165" s="9"/>
      <c r="K1165" s="9"/>
      <c r="L1165" s="9"/>
    </row>
    <row r="1166" spans="2:12" ht="15" x14ac:dyDescent="0.25">
      <c r="B1166" t="s">
        <v>1191</v>
      </c>
      <c r="C1166" t="s">
        <v>1192</v>
      </c>
      <c r="D1166" t="str">
        <f>HYPERLINK("https://rhld.insurance.arkansas.gov/NPILookup?Npi=1578649224","1578649224")</f>
        <v>1578649224</v>
      </c>
      <c r="E1166" t="s">
        <v>4416</v>
      </c>
      <c r="F1166" t="s">
        <v>13</v>
      </c>
      <c r="G1166" s="20">
        <v>1</v>
      </c>
      <c r="H1166" t="s">
        <v>87</v>
      </c>
      <c r="I1166" t="s">
        <v>4357</v>
      </c>
      <c r="J1166" s="9"/>
      <c r="K1166" s="9"/>
      <c r="L1166" s="9"/>
    </row>
    <row r="1167" spans="2:12" ht="15" x14ac:dyDescent="0.25">
      <c r="B1167" t="s">
        <v>1191</v>
      </c>
      <c r="C1167" t="s">
        <v>1192</v>
      </c>
      <c r="D1167" t="str">
        <f>HYPERLINK("https://rhld.insurance.arkansas.gov/NPILookup?Npi=1578510954","1578510954")</f>
        <v>1578510954</v>
      </c>
      <c r="E1167" t="s">
        <v>1244</v>
      </c>
      <c r="F1167" t="s">
        <v>12</v>
      </c>
      <c r="G1167" s="20">
        <v>1</v>
      </c>
      <c r="H1167" t="s">
        <v>4338</v>
      </c>
      <c r="I1167" t="s">
        <v>32</v>
      </c>
      <c r="J1167" s="9"/>
      <c r="K1167" s="9"/>
      <c r="L1167" s="9"/>
    </row>
    <row r="1168" spans="2:12" ht="15" x14ac:dyDescent="0.25">
      <c r="B1168" t="s">
        <v>1191</v>
      </c>
      <c r="C1168" t="s">
        <v>1192</v>
      </c>
      <c r="D1168" t="str">
        <f>HYPERLINK("https://rhld.insurance.arkansas.gov/NPILookup?Npi=1619314705","1619314705")</f>
        <v>1619314705</v>
      </c>
      <c r="E1168" t="s">
        <v>4417</v>
      </c>
      <c r="F1168" t="s">
        <v>13</v>
      </c>
      <c r="G1168" s="20">
        <v>1</v>
      </c>
      <c r="H1168" t="s">
        <v>87</v>
      </c>
      <c r="I1168" t="s">
        <v>4357</v>
      </c>
      <c r="J1168" s="9"/>
      <c r="K1168" s="9"/>
      <c r="L1168" s="9"/>
    </row>
    <row r="1169" spans="2:12" ht="15" x14ac:dyDescent="0.25">
      <c r="B1169" t="s">
        <v>1191</v>
      </c>
      <c r="C1169" t="s">
        <v>1192</v>
      </c>
      <c r="D1169" t="str">
        <f>HYPERLINK("https://rhld.insurance.arkansas.gov/NPILookup?Npi=1598086050","1598086050")</f>
        <v>1598086050</v>
      </c>
      <c r="E1169" t="s">
        <v>1245</v>
      </c>
      <c r="F1169" t="s">
        <v>12</v>
      </c>
      <c r="G1169" s="20">
        <v>1</v>
      </c>
      <c r="H1169" t="s">
        <v>139</v>
      </c>
      <c r="I1169" t="s">
        <v>32</v>
      </c>
      <c r="J1169" s="9"/>
      <c r="K1169" s="9"/>
      <c r="L1169" s="9"/>
    </row>
    <row r="1170" spans="2:12" ht="15" x14ac:dyDescent="0.25">
      <c r="B1170" t="s">
        <v>1191</v>
      </c>
      <c r="C1170" t="s">
        <v>1192</v>
      </c>
      <c r="D1170" t="str">
        <f>HYPERLINK("https://rhld.insurance.arkansas.gov/NPILookup?Npi=1598150955","1598150955")</f>
        <v>1598150955</v>
      </c>
      <c r="E1170" t="s">
        <v>1246</v>
      </c>
      <c r="F1170" t="s">
        <v>12</v>
      </c>
      <c r="G1170" s="20">
        <v>1</v>
      </c>
      <c r="H1170" t="s">
        <v>4338</v>
      </c>
      <c r="I1170" t="s">
        <v>32</v>
      </c>
      <c r="J1170" s="9"/>
      <c r="K1170" s="9"/>
      <c r="L1170" s="9"/>
    </row>
    <row r="1171" spans="2:12" ht="15" x14ac:dyDescent="0.25">
      <c r="B1171" t="s">
        <v>1191</v>
      </c>
      <c r="C1171" t="s">
        <v>1192</v>
      </c>
      <c r="D1171" t="str">
        <f>HYPERLINK("https://rhld.insurance.arkansas.gov/NPILookup?Npi=1609223791","1609223791")</f>
        <v>1609223791</v>
      </c>
      <c r="E1171" t="s">
        <v>1247</v>
      </c>
      <c r="F1171" t="s">
        <v>12</v>
      </c>
      <c r="G1171" s="20">
        <v>1</v>
      </c>
      <c r="H1171" t="s">
        <v>4338</v>
      </c>
      <c r="I1171" t="s">
        <v>32</v>
      </c>
      <c r="J1171" s="9"/>
      <c r="K1171" s="9"/>
      <c r="L1171" s="9"/>
    </row>
    <row r="1172" spans="2:12" ht="15" x14ac:dyDescent="0.25">
      <c r="B1172" t="s">
        <v>1191</v>
      </c>
      <c r="C1172" t="s">
        <v>1192</v>
      </c>
      <c r="D1172" t="str">
        <f>HYPERLINK("https://rhld.insurance.arkansas.gov/NPILookup?Npi=1619079753","1619079753")</f>
        <v>1619079753</v>
      </c>
      <c r="E1172" t="s">
        <v>1248</v>
      </c>
      <c r="F1172" t="s">
        <v>12</v>
      </c>
      <c r="G1172" s="20">
        <v>1</v>
      </c>
      <c r="H1172" t="s">
        <v>4338</v>
      </c>
      <c r="I1172" t="s">
        <v>32</v>
      </c>
      <c r="J1172" s="9"/>
      <c r="K1172" s="9"/>
      <c r="L1172" s="9"/>
    </row>
    <row r="1173" spans="2:12" ht="15" x14ac:dyDescent="0.25">
      <c r="B1173" t="s">
        <v>1191</v>
      </c>
      <c r="C1173" t="s">
        <v>1192</v>
      </c>
      <c r="D1173" t="str">
        <f>HYPERLINK("https://rhld.insurance.arkansas.gov/NPILookup?Npi=1619400520","1619400520")</f>
        <v>1619400520</v>
      </c>
      <c r="E1173" t="s">
        <v>4418</v>
      </c>
      <c r="F1173" t="s">
        <v>13</v>
      </c>
      <c r="G1173" s="20">
        <v>1</v>
      </c>
      <c r="H1173" t="s">
        <v>87</v>
      </c>
      <c r="I1173" t="s">
        <v>4357</v>
      </c>
      <c r="J1173" s="9"/>
      <c r="K1173" s="9"/>
      <c r="L1173" s="9"/>
    </row>
    <row r="1174" spans="2:12" ht="15" x14ac:dyDescent="0.25">
      <c r="B1174" t="s">
        <v>1191</v>
      </c>
      <c r="C1174" t="s">
        <v>1192</v>
      </c>
      <c r="D1174" t="str">
        <f>HYPERLINK("https://rhld.insurance.arkansas.gov/NPILookup?Npi=1619436474","1619436474")</f>
        <v>1619436474</v>
      </c>
      <c r="E1174" t="s">
        <v>4419</v>
      </c>
      <c r="F1174" t="s">
        <v>13</v>
      </c>
      <c r="G1174" s="20">
        <v>1</v>
      </c>
      <c r="H1174" t="s">
        <v>87</v>
      </c>
      <c r="I1174" t="s">
        <v>4357</v>
      </c>
      <c r="J1174" s="9"/>
      <c r="K1174" s="9"/>
      <c r="L1174" s="9"/>
    </row>
    <row r="1175" spans="2:12" ht="15" x14ac:dyDescent="0.25">
      <c r="B1175" t="s">
        <v>1191</v>
      </c>
      <c r="C1175" t="s">
        <v>1192</v>
      </c>
      <c r="D1175" t="str">
        <f>HYPERLINK("https://rhld.insurance.arkansas.gov/NPILookup?Npi=1629344882","1629344882")</f>
        <v>1629344882</v>
      </c>
      <c r="E1175" t="s">
        <v>4420</v>
      </c>
      <c r="F1175" t="s">
        <v>13</v>
      </c>
      <c r="G1175" s="20">
        <v>1</v>
      </c>
      <c r="H1175" t="s">
        <v>87</v>
      </c>
      <c r="I1175" t="s">
        <v>4357</v>
      </c>
      <c r="J1175" s="9"/>
      <c r="K1175" s="9"/>
      <c r="L1175" s="9"/>
    </row>
    <row r="1176" spans="2:12" ht="15" x14ac:dyDescent="0.25">
      <c r="B1176" t="s">
        <v>1191</v>
      </c>
      <c r="C1176" t="s">
        <v>1192</v>
      </c>
      <c r="D1176" t="str">
        <f>HYPERLINK("https://rhld.insurance.arkansas.gov/NPILookup?Npi=1639177884","1639177884")</f>
        <v>1639177884</v>
      </c>
      <c r="E1176" t="s">
        <v>4421</v>
      </c>
      <c r="F1176" t="s">
        <v>13</v>
      </c>
      <c r="G1176" s="20">
        <v>1</v>
      </c>
      <c r="H1176" t="s">
        <v>87</v>
      </c>
      <c r="I1176" t="s">
        <v>32</v>
      </c>
      <c r="J1176" s="9"/>
      <c r="K1176" s="9"/>
      <c r="L1176" s="9"/>
    </row>
    <row r="1177" spans="2:12" ht="15" x14ac:dyDescent="0.25">
      <c r="B1177" t="s">
        <v>1191</v>
      </c>
      <c r="C1177" t="s">
        <v>1192</v>
      </c>
      <c r="D1177" t="str">
        <f>HYPERLINK("https://rhld.insurance.arkansas.gov/NPILookup?Npi=1629424296","1629424296")</f>
        <v>1629424296</v>
      </c>
      <c r="E1177" t="s">
        <v>1249</v>
      </c>
      <c r="F1177" t="s">
        <v>12</v>
      </c>
      <c r="G1177" s="20">
        <v>1</v>
      </c>
      <c r="H1177" t="s">
        <v>139</v>
      </c>
      <c r="I1177" t="s">
        <v>4357</v>
      </c>
      <c r="J1177" s="9"/>
      <c r="K1177" s="9"/>
      <c r="L1177" s="9"/>
    </row>
    <row r="1178" spans="2:12" ht="15" x14ac:dyDescent="0.25">
      <c r="B1178" t="s">
        <v>1191</v>
      </c>
      <c r="C1178" t="s">
        <v>1192</v>
      </c>
      <c r="D1178" t="str">
        <f>HYPERLINK("https://rhld.insurance.arkansas.gov/NPILookup?Npi=1639437452","1639437452")</f>
        <v>1639437452</v>
      </c>
      <c r="E1178" t="s">
        <v>4422</v>
      </c>
      <c r="F1178" t="s">
        <v>13</v>
      </c>
      <c r="G1178" s="20">
        <v>1</v>
      </c>
      <c r="H1178" t="s">
        <v>87</v>
      </c>
      <c r="I1178" t="s">
        <v>4357</v>
      </c>
      <c r="J1178" s="9"/>
      <c r="K1178" s="9"/>
      <c r="L1178" s="9"/>
    </row>
    <row r="1179" spans="2:12" ht="15" x14ac:dyDescent="0.25">
      <c r="B1179" t="s">
        <v>1191</v>
      </c>
      <c r="C1179" t="s">
        <v>1192</v>
      </c>
      <c r="D1179" t="str">
        <f>HYPERLINK("https://rhld.insurance.arkansas.gov/NPILookup?Npi=1649303108","1649303108")</f>
        <v>1649303108</v>
      </c>
      <c r="E1179" t="s">
        <v>4423</v>
      </c>
      <c r="F1179" t="s">
        <v>13</v>
      </c>
      <c r="G1179" s="20">
        <v>1</v>
      </c>
      <c r="H1179" t="s">
        <v>87</v>
      </c>
      <c r="I1179" t="s">
        <v>4357</v>
      </c>
      <c r="J1179" s="9"/>
      <c r="K1179" s="9"/>
      <c r="L1179" s="9"/>
    </row>
    <row r="1180" spans="2:12" ht="15" x14ac:dyDescent="0.25">
      <c r="B1180" t="s">
        <v>1191</v>
      </c>
      <c r="C1180" t="s">
        <v>1192</v>
      </c>
      <c r="D1180" t="str">
        <f>HYPERLINK("https://rhld.insurance.arkansas.gov/NPILookup?Npi=1649320987","1649320987")</f>
        <v>1649320987</v>
      </c>
      <c r="E1180" t="s">
        <v>4424</v>
      </c>
      <c r="F1180" t="s">
        <v>13</v>
      </c>
      <c r="G1180" s="20">
        <v>1</v>
      </c>
      <c r="H1180" t="s">
        <v>87</v>
      </c>
      <c r="I1180" t="s">
        <v>4357</v>
      </c>
      <c r="J1180" s="9"/>
      <c r="K1180" s="9"/>
      <c r="L1180" s="9"/>
    </row>
    <row r="1181" spans="2:12" ht="15" x14ac:dyDescent="0.25">
      <c r="B1181" t="s">
        <v>1191</v>
      </c>
      <c r="C1181" t="s">
        <v>1192</v>
      </c>
      <c r="D1181" t="str">
        <f>HYPERLINK("https://rhld.insurance.arkansas.gov/NPILookup?Npi=1649897687","1649897687")</f>
        <v>1649897687</v>
      </c>
      <c r="E1181" t="s">
        <v>1251</v>
      </c>
      <c r="F1181" t="s">
        <v>13</v>
      </c>
      <c r="G1181" s="20">
        <v>1</v>
      </c>
      <c r="H1181" t="s">
        <v>4357</v>
      </c>
      <c r="I1181" t="s">
        <v>4357</v>
      </c>
      <c r="J1181" s="9"/>
      <c r="K1181" s="9"/>
      <c r="L1181" s="9"/>
    </row>
    <row r="1182" spans="2:12" ht="15" x14ac:dyDescent="0.25">
      <c r="B1182" t="s">
        <v>1191</v>
      </c>
      <c r="C1182" t="s">
        <v>1192</v>
      </c>
      <c r="D1182" t="str">
        <f>HYPERLINK("https://rhld.insurance.arkansas.gov/NPILookup?Npi=1669734620","1669734620")</f>
        <v>1669734620</v>
      </c>
      <c r="E1182" t="s">
        <v>4425</v>
      </c>
      <c r="F1182" t="s">
        <v>13</v>
      </c>
      <c r="G1182" s="20">
        <v>1</v>
      </c>
      <c r="H1182" t="s">
        <v>87</v>
      </c>
      <c r="I1182" t="s">
        <v>4357</v>
      </c>
      <c r="J1182" s="9"/>
      <c r="K1182" s="9"/>
      <c r="L1182" s="9"/>
    </row>
    <row r="1183" spans="2:12" ht="15" x14ac:dyDescent="0.25">
      <c r="B1183" t="s">
        <v>1191</v>
      </c>
      <c r="C1183" t="s">
        <v>1192</v>
      </c>
      <c r="D1183" t="str">
        <f>HYPERLINK("https://rhld.insurance.arkansas.gov/NPILookup?Npi=1659325785","1659325785")</f>
        <v>1659325785</v>
      </c>
      <c r="E1183" t="s">
        <v>1252</v>
      </c>
      <c r="F1183" t="s">
        <v>12</v>
      </c>
      <c r="G1183" s="20">
        <v>1</v>
      </c>
      <c r="H1183" t="s">
        <v>4338</v>
      </c>
      <c r="I1183" t="s">
        <v>32</v>
      </c>
      <c r="J1183" s="9"/>
      <c r="K1183" s="9"/>
      <c r="L1183" s="9"/>
    </row>
    <row r="1184" spans="2:12" ht="15" x14ac:dyDescent="0.25">
      <c r="B1184" t="s">
        <v>1191</v>
      </c>
      <c r="C1184" t="s">
        <v>1192</v>
      </c>
      <c r="D1184" t="str">
        <f>HYPERLINK("https://rhld.insurance.arkansas.gov/NPILookup?Npi=1669572871","1669572871")</f>
        <v>1669572871</v>
      </c>
      <c r="E1184" t="s">
        <v>1253</v>
      </c>
      <c r="F1184" t="s">
        <v>12</v>
      </c>
      <c r="G1184" s="20">
        <v>1</v>
      </c>
      <c r="H1184" t="s">
        <v>4338</v>
      </c>
      <c r="I1184" t="s">
        <v>4357</v>
      </c>
      <c r="J1184" s="9"/>
      <c r="K1184" s="9"/>
      <c r="L1184" s="9"/>
    </row>
    <row r="1185" spans="2:12" ht="15" x14ac:dyDescent="0.25">
      <c r="B1185" t="s">
        <v>1191</v>
      </c>
      <c r="C1185" t="s">
        <v>1192</v>
      </c>
      <c r="D1185" t="str">
        <f>HYPERLINK("https://rhld.insurance.arkansas.gov/NPILookup?Npi=1679531636","1679531636")</f>
        <v>1679531636</v>
      </c>
      <c r="E1185" t="s">
        <v>4426</v>
      </c>
      <c r="F1185" t="s">
        <v>13</v>
      </c>
      <c r="G1185" s="20">
        <v>1</v>
      </c>
      <c r="H1185" t="s">
        <v>87</v>
      </c>
      <c r="I1185" t="s">
        <v>4357</v>
      </c>
      <c r="J1185" s="9"/>
      <c r="K1185" s="9"/>
      <c r="L1185" s="9"/>
    </row>
    <row r="1186" spans="2:12" ht="15" x14ac:dyDescent="0.25">
      <c r="B1186" t="s">
        <v>1191</v>
      </c>
      <c r="C1186" t="s">
        <v>1192</v>
      </c>
      <c r="D1186" t="str">
        <f>HYPERLINK("https://rhld.insurance.arkansas.gov/NPILookup?Npi=1699338798","1699338798")</f>
        <v>1699338798</v>
      </c>
      <c r="E1186" t="s">
        <v>4427</v>
      </c>
      <c r="F1186" t="s">
        <v>13</v>
      </c>
      <c r="G1186" s="20">
        <v>1</v>
      </c>
      <c r="H1186" t="s">
        <v>87</v>
      </c>
      <c r="I1186" t="s">
        <v>4357</v>
      </c>
      <c r="J1186" s="9"/>
      <c r="K1186" s="9"/>
      <c r="L1186" s="9"/>
    </row>
    <row r="1187" spans="2:12" ht="15" x14ac:dyDescent="0.25">
      <c r="B1187" t="s">
        <v>1191</v>
      </c>
      <c r="C1187" t="s">
        <v>1192</v>
      </c>
      <c r="D1187" t="str">
        <f>HYPERLINK("https://rhld.insurance.arkansas.gov/NPILookup?Npi=1679968937","1679968937")</f>
        <v>1679968937</v>
      </c>
      <c r="E1187" t="s">
        <v>1254</v>
      </c>
      <c r="F1187" t="s">
        <v>12</v>
      </c>
      <c r="G1187" s="20">
        <v>1</v>
      </c>
      <c r="H1187" t="s">
        <v>4338</v>
      </c>
      <c r="I1187" t="s">
        <v>32</v>
      </c>
      <c r="J1187" s="9"/>
      <c r="K1187" s="9"/>
      <c r="L1187" s="9"/>
    </row>
    <row r="1188" spans="2:12" ht="15" x14ac:dyDescent="0.25">
      <c r="B1188" t="s">
        <v>1191</v>
      </c>
      <c r="C1188" t="s">
        <v>1192</v>
      </c>
      <c r="D1188" t="str">
        <f>HYPERLINK("https://rhld.insurance.arkansas.gov/NPILookup?Npi=1689017550","1689017550")</f>
        <v>1689017550</v>
      </c>
      <c r="E1188" t="s">
        <v>1255</v>
      </c>
      <c r="F1188" t="s">
        <v>12</v>
      </c>
      <c r="G1188" s="20">
        <v>1</v>
      </c>
      <c r="H1188" t="s">
        <v>4338</v>
      </c>
      <c r="I1188" t="s">
        <v>32</v>
      </c>
      <c r="J1188" s="9"/>
      <c r="K1188" s="9"/>
      <c r="L1188" s="9"/>
    </row>
    <row r="1189" spans="2:12" ht="15" x14ac:dyDescent="0.25">
      <c r="B1189" t="s">
        <v>1191</v>
      </c>
      <c r="C1189" t="s">
        <v>1192</v>
      </c>
      <c r="D1189" t="str">
        <f>HYPERLINK("https://rhld.insurance.arkansas.gov/NPILookup?Npi=1689092678","1689092678")</f>
        <v>1689092678</v>
      </c>
      <c r="E1189" t="s">
        <v>1256</v>
      </c>
      <c r="F1189" t="s">
        <v>12</v>
      </c>
      <c r="G1189" s="20">
        <v>1</v>
      </c>
      <c r="H1189" t="s">
        <v>4338</v>
      </c>
      <c r="I1189" t="s">
        <v>32</v>
      </c>
      <c r="J1189" s="9"/>
      <c r="K1189" s="9"/>
      <c r="L1189" s="9"/>
    </row>
    <row r="1190" spans="2:12" ht="15" x14ac:dyDescent="0.25">
      <c r="B1190" t="s">
        <v>1191</v>
      </c>
      <c r="C1190" t="s">
        <v>1192</v>
      </c>
      <c r="D1190" t="str">
        <f>HYPERLINK("https://rhld.insurance.arkansas.gov/NPILookup?Npi=1689171019","1689171019")</f>
        <v>1689171019</v>
      </c>
      <c r="E1190" t="s">
        <v>1257</v>
      </c>
      <c r="F1190" t="s">
        <v>12</v>
      </c>
      <c r="G1190" s="20">
        <v>1</v>
      </c>
      <c r="H1190" t="s">
        <v>4338</v>
      </c>
      <c r="I1190" t="s">
        <v>32</v>
      </c>
      <c r="J1190" s="9"/>
      <c r="K1190" s="9"/>
      <c r="L1190" s="9"/>
    </row>
    <row r="1191" spans="2:12" ht="15" x14ac:dyDescent="0.25">
      <c r="B1191" t="s">
        <v>1191</v>
      </c>
      <c r="C1191" t="s">
        <v>1192</v>
      </c>
      <c r="D1191" t="str">
        <f>HYPERLINK("https://rhld.insurance.arkansas.gov/NPILookup?Npi=1700074796","1700074796")</f>
        <v>1700074796</v>
      </c>
      <c r="E1191" t="s">
        <v>4428</v>
      </c>
      <c r="F1191" t="s">
        <v>13</v>
      </c>
      <c r="G1191" s="20">
        <v>1</v>
      </c>
      <c r="H1191" t="s">
        <v>87</v>
      </c>
      <c r="I1191" t="s">
        <v>4357</v>
      </c>
      <c r="J1191" s="9"/>
      <c r="K1191" s="9"/>
      <c r="L1191" s="9"/>
    </row>
    <row r="1192" spans="2:12" ht="15" x14ac:dyDescent="0.25">
      <c r="B1192" t="s">
        <v>1191</v>
      </c>
      <c r="C1192" t="s">
        <v>1192</v>
      </c>
      <c r="D1192" t="str">
        <f>HYPERLINK("https://rhld.insurance.arkansas.gov/NPILookup?Npi=1699719963","1699719963")</f>
        <v>1699719963</v>
      </c>
      <c r="E1192" t="s">
        <v>1258</v>
      </c>
      <c r="F1192" t="s">
        <v>12</v>
      </c>
      <c r="G1192" s="20">
        <v>1</v>
      </c>
      <c r="H1192" t="s">
        <v>4338</v>
      </c>
      <c r="I1192" t="s">
        <v>32</v>
      </c>
      <c r="J1192" s="9"/>
      <c r="K1192" s="9"/>
      <c r="L1192" s="9"/>
    </row>
    <row r="1193" spans="2:12" ht="15" x14ac:dyDescent="0.25">
      <c r="B1193" t="s">
        <v>1191</v>
      </c>
      <c r="C1193" t="s">
        <v>1192</v>
      </c>
      <c r="D1193" t="str">
        <f>HYPERLINK("https://rhld.insurance.arkansas.gov/NPILookup?Npi=1700142668","1700142668")</f>
        <v>1700142668</v>
      </c>
      <c r="E1193" t="s">
        <v>4429</v>
      </c>
      <c r="F1193" t="s">
        <v>13</v>
      </c>
      <c r="G1193" s="20">
        <v>1</v>
      </c>
      <c r="H1193" t="s">
        <v>87</v>
      </c>
      <c r="I1193" t="s">
        <v>4357</v>
      </c>
      <c r="J1193" s="9"/>
      <c r="K1193" s="9"/>
      <c r="L1193" s="9"/>
    </row>
    <row r="1194" spans="2:12" ht="15" x14ac:dyDescent="0.25">
      <c r="B1194" t="s">
        <v>1191</v>
      </c>
      <c r="C1194" t="s">
        <v>1192</v>
      </c>
      <c r="D1194" t="str">
        <f>HYPERLINK("https://rhld.insurance.arkansas.gov/NPILookup?Npi=1710488366","1710488366")</f>
        <v>1710488366</v>
      </c>
      <c r="E1194" t="s">
        <v>4430</v>
      </c>
      <c r="F1194" t="s">
        <v>13</v>
      </c>
      <c r="G1194" s="20">
        <v>1</v>
      </c>
      <c r="H1194" t="s">
        <v>87</v>
      </c>
      <c r="I1194" t="s">
        <v>4357</v>
      </c>
      <c r="J1194" s="9"/>
      <c r="K1194" s="9"/>
      <c r="L1194" s="9"/>
    </row>
    <row r="1195" spans="2:12" ht="15" x14ac:dyDescent="0.25">
      <c r="B1195" t="s">
        <v>1191</v>
      </c>
      <c r="C1195" t="s">
        <v>1192</v>
      </c>
      <c r="D1195" t="str">
        <f>HYPERLINK("https://rhld.insurance.arkansas.gov/NPILookup?Npi=1710049283","1710049283")</f>
        <v>1710049283</v>
      </c>
      <c r="E1195" t="s">
        <v>789</v>
      </c>
      <c r="F1195" t="s">
        <v>12</v>
      </c>
      <c r="G1195" s="20">
        <v>1</v>
      </c>
      <c r="H1195" t="s">
        <v>4338</v>
      </c>
      <c r="I1195" t="s">
        <v>32</v>
      </c>
      <c r="J1195" s="9"/>
      <c r="K1195" s="9"/>
      <c r="L1195" s="9"/>
    </row>
    <row r="1196" spans="2:12" ht="15" x14ac:dyDescent="0.25">
      <c r="B1196" t="s">
        <v>1191</v>
      </c>
      <c r="C1196" t="s">
        <v>1192</v>
      </c>
      <c r="D1196" t="str">
        <f>HYPERLINK("https://rhld.insurance.arkansas.gov/NPILookup?Npi=1730594011","1730594011")</f>
        <v>1730594011</v>
      </c>
      <c r="E1196" t="s">
        <v>1262</v>
      </c>
      <c r="F1196" t="s">
        <v>13</v>
      </c>
      <c r="G1196" s="20">
        <v>1</v>
      </c>
      <c r="H1196" t="s">
        <v>4357</v>
      </c>
      <c r="I1196" t="s">
        <v>4357</v>
      </c>
      <c r="J1196" s="9"/>
      <c r="K1196" s="9"/>
      <c r="L1196" s="9"/>
    </row>
    <row r="1197" spans="2:12" ht="15" x14ac:dyDescent="0.25">
      <c r="B1197" t="s">
        <v>1191</v>
      </c>
      <c r="C1197" t="s">
        <v>1192</v>
      </c>
      <c r="D1197" t="str">
        <f>HYPERLINK("https://rhld.insurance.arkansas.gov/NPILookup?Npi=1730419771","1730419771")</f>
        <v>1730419771</v>
      </c>
      <c r="E1197" t="s">
        <v>1260</v>
      </c>
      <c r="F1197" t="s">
        <v>12</v>
      </c>
      <c r="G1197" s="20">
        <v>1</v>
      </c>
      <c r="H1197" t="s">
        <v>4338</v>
      </c>
      <c r="I1197" t="s">
        <v>32</v>
      </c>
      <c r="J1197" s="9"/>
      <c r="K1197" s="9"/>
      <c r="L1197" s="9"/>
    </row>
    <row r="1198" spans="2:12" ht="15" x14ac:dyDescent="0.25">
      <c r="B1198" t="s">
        <v>1191</v>
      </c>
      <c r="C1198" t="s">
        <v>1192</v>
      </c>
      <c r="D1198" t="str">
        <f>HYPERLINK("https://rhld.insurance.arkansas.gov/NPILookup?Npi=1730576257","1730576257")</f>
        <v>1730576257</v>
      </c>
      <c r="E1198" t="s">
        <v>1261</v>
      </c>
      <c r="F1198" t="s">
        <v>12</v>
      </c>
      <c r="G1198" s="20">
        <v>1</v>
      </c>
      <c r="H1198" t="s">
        <v>4338</v>
      </c>
      <c r="I1198" t="s">
        <v>32</v>
      </c>
      <c r="J1198" s="9"/>
      <c r="K1198" s="9"/>
      <c r="L1198" s="9"/>
    </row>
    <row r="1199" spans="2:12" ht="15" x14ac:dyDescent="0.25">
      <c r="B1199" t="s">
        <v>1191</v>
      </c>
      <c r="C1199" t="s">
        <v>1192</v>
      </c>
      <c r="D1199" t="str">
        <f>HYPERLINK("https://rhld.insurance.arkansas.gov/NPILookup?Npi=1730628579","1730628579")</f>
        <v>1730628579</v>
      </c>
      <c r="E1199" t="s">
        <v>4431</v>
      </c>
      <c r="F1199" t="s">
        <v>13</v>
      </c>
      <c r="G1199" s="20">
        <v>1</v>
      </c>
      <c r="H1199" t="s">
        <v>87</v>
      </c>
      <c r="I1199" t="s">
        <v>4357</v>
      </c>
      <c r="J1199" s="9"/>
      <c r="K1199" s="9"/>
      <c r="L1199" s="9"/>
    </row>
    <row r="1200" spans="2:12" ht="15" x14ac:dyDescent="0.25">
      <c r="B1200" t="s">
        <v>1191</v>
      </c>
      <c r="C1200" t="s">
        <v>1192</v>
      </c>
      <c r="D1200" t="str">
        <f>HYPERLINK("https://rhld.insurance.arkansas.gov/NPILookup?Npi=1730746603","1730746603")</f>
        <v>1730746603</v>
      </c>
      <c r="E1200" t="s">
        <v>4432</v>
      </c>
      <c r="F1200" t="s">
        <v>13</v>
      </c>
      <c r="G1200" s="20">
        <v>1</v>
      </c>
      <c r="H1200" t="s">
        <v>87</v>
      </c>
      <c r="I1200" t="s">
        <v>4357</v>
      </c>
      <c r="J1200" s="9"/>
      <c r="K1200" s="9"/>
      <c r="L1200" s="9"/>
    </row>
    <row r="1201" spans="2:12" ht="15" x14ac:dyDescent="0.25">
      <c r="B1201" t="s">
        <v>1191</v>
      </c>
      <c r="C1201" t="s">
        <v>1192</v>
      </c>
      <c r="D1201" t="str">
        <f>HYPERLINK("https://rhld.insurance.arkansas.gov/NPILookup?Npi=1740253822","1740253822")</f>
        <v>1740253822</v>
      </c>
      <c r="E1201" t="s">
        <v>4433</v>
      </c>
      <c r="F1201" t="s">
        <v>13</v>
      </c>
      <c r="G1201" s="20">
        <v>1</v>
      </c>
      <c r="H1201" t="s">
        <v>87</v>
      </c>
      <c r="I1201" t="s">
        <v>4357</v>
      </c>
      <c r="J1201" s="9"/>
      <c r="K1201" s="9"/>
      <c r="L1201" s="9"/>
    </row>
    <row r="1202" spans="2:12" ht="15" x14ac:dyDescent="0.25">
      <c r="B1202" t="s">
        <v>1191</v>
      </c>
      <c r="C1202" t="s">
        <v>1192</v>
      </c>
      <c r="D1202" t="str">
        <f>HYPERLINK("https://rhld.insurance.arkansas.gov/NPILookup?Npi=1740523935","1740523935")</f>
        <v>1740523935</v>
      </c>
      <c r="E1202" t="s">
        <v>4434</v>
      </c>
      <c r="F1202" t="s">
        <v>13</v>
      </c>
      <c r="G1202" s="20">
        <v>1</v>
      </c>
      <c r="H1202" t="s">
        <v>87</v>
      </c>
      <c r="I1202" t="s">
        <v>4357</v>
      </c>
      <c r="J1202" s="9"/>
      <c r="K1202" s="9"/>
      <c r="L1202" s="9"/>
    </row>
    <row r="1203" spans="2:12" ht="15" x14ac:dyDescent="0.25">
      <c r="B1203" t="s">
        <v>1191</v>
      </c>
      <c r="C1203" t="s">
        <v>1192</v>
      </c>
      <c r="D1203" t="str">
        <f>HYPERLINK("https://rhld.insurance.arkansas.gov/NPILookup?Npi=1740392919","1740392919")</f>
        <v>1740392919</v>
      </c>
      <c r="E1203" t="s">
        <v>1263</v>
      </c>
      <c r="F1203" t="s">
        <v>12</v>
      </c>
      <c r="G1203" s="20">
        <v>1</v>
      </c>
      <c r="H1203" t="s">
        <v>4338</v>
      </c>
      <c r="I1203" t="s">
        <v>32</v>
      </c>
      <c r="J1203" s="9"/>
      <c r="K1203" s="9"/>
      <c r="L1203" s="9"/>
    </row>
    <row r="1204" spans="2:12" ht="15" x14ac:dyDescent="0.25">
      <c r="B1204" t="s">
        <v>1191</v>
      </c>
      <c r="C1204" t="s">
        <v>1192</v>
      </c>
      <c r="D1204" t="str">
        <f>HYPERLINK("https://rhld.insurance.arkansas.gov/NPILookup?Npi=1740806397","1740806397")</f>
        <v>1740806397</v>
      </c>
      <c r="E1204" t="s">
        <v>1264</v>
      </c>
      <c r="F1204" t="s">
        <v>13</v>
      </c>
      <c r="G1204" s="20">
        <v>1</v>
      </c>
      <c r="H1204" t="s">
        <v>4357</v>
      </c>
      <c r="I1204" t="s">
        <v>4357</v>
      </c>
      <c r="J1204" s="9"/>
      <c r="K1204" s="9"/>
      <c r="L1204" s="9"/>
    </row>
    <row r="1205" spans="2:12" ht="15" x14ac:dyDescent="0.25">
      <c r="B1205" t="s">
        <v>1191</v>
      </c>
      <c r="C1205" t="s">
        <v>1192</v>
      </c>
      <c r="D1205" t="str">
        <f>HYPERLINK("https://rhld.insurance.arkansas.gov/NPILookup?Npi=1750357042","1750357042")</f>
        <v>1750357042</v>
      </c>
      <c r="E1205" t="s">
        <v>1265</v>
      </c>
      <c r="F1205" t="s">
        <v>13</v>
      </c>
      <c r="G1205" s="20">
        <v>2</v>
      </c>
      <c r="H1205" t="s">
        <v>439</v>
      </c>
      <c r="I1205" t="s">
        <v>4357</v>
      </c>
      <c r="J1205" s="9"/>
      <c r="K1205" s="9"/>
      <c r="L1205" s="9"/>
    </row>
    <row r="1206" spans="2:12" ht="15" x14ac:dyDescent="0.25">
      <c r="B1206" t="s">
        <v>1191</v>
      </c>
      <c r="C1206" t="s">
        <v>1192</v>
      </c>
      <c r="D1206" t="str">
        <f>HYPERLINK("https://rhld.insurance.arkansas.gov/NPILookup?Npi=1750743621","1750743621")</f>
        <v>1750743621</v>
      </c>
      <c r="E1206" t="s">
        <v>4435</v>
      </c>
      <c r="F1206" t="s">
        <v>13</v>
      </c>
      <c r="G1206" s="20">
        <v>1</v>
      </c>
      <c r="H1206" t="s">
        <v>87</v>
      </c>
      <c r="I1206" t="s">
        <v>4357</v>
      </c>
      <c r="J1206" s="9"/>
      <c r="K1206" s="9"/>
      <c r="L1206" s="9"/>
    </row>
    <row r="1207" spans="2:12" ht="15" x14ac:dyDescent="0.25">
      <c r="B1207" t="s">
        <v>1191</v>
      </c>
      <c r="C1207" t="s">
        <v>1192</v>
      </c>
      <c r="D1207" t="str">
        <f>HYPERLINK("https://rhld.insurance.arkansas.gov/NPILookup?Npi=1760801112","1760801112")</f>
        <v>1760801112</v>
      </c>
      <c r="E1207" t="s">
        <v>4436</v>
      </c>
      <c r="F1207" t="s">
        <v>13</v>
      </c>
      <c r="G1207" s="20">
        <v>1</v>
      </c>
      <c r="H1207" t="s">
        <v>87</v>
      </c>
      <c r="I1207" t="s">
        <v>4357</v>
      </c>
      <c r="J1207" s="9"/>
      <c r="K1207" s="9"/>
      <c r="L1207" s="9"/>
    </row>
    <row r="1208" spans="2:12" ht="15" x14ac:dyDescent="0.25">
      <c r="B1208" t="s">
        <v>1191</v>
      </c>
      <c r="C1208" t="s">
        <v>1192</v>
      </c>
      <c r="D1208" t="str">
        <f>HYPERLINK("https://rhld.insurance.arkansas.gov/NPILookup?Npi=1760827778","1760827778")</f>
        <v>1760827778</v>
      </c>
      <c r="E1208" t="s">
        <v>4437</v>
      </c>
      <c r="F1208" t="s">
        <v>13</v>
      </c>
      <c r="G1208" s="20">
        <v>1</v>
      </c>
      <c r="H1208" t="s">
        <v>87</v>
      </c>
      <c r="I1208" t="s">
        <v>4357</v>
      </c>
      <c r="J1208" s="9"/>
      <c r="K1208" s="9"/>
      <c r="L1208" s="9"/>
    </row>
    <row r="1209" spans="2:12" ht="15" x14ac:dyDescent="0.25">
      <c r="B1209" t="s">
        <v>1191</v>
      </c>
      <c r="C1209" t="s">
        <v>1192</v>
      </c>
      <c r="D1209" t="str">
        <f>HYPERLINK("https://rhld.insurance.arkansas.gov/NPILookup?Npi=1760877617","1760877617")</f>
        <v>1760877617</v>
      </c>
      <c r="E1209" t="s">
        <v>4438</v>
      </c>
      <c r="F1209" t="s">
        <v>13</v>
      </c>
      <c r="G1209" s="20">
        <v>1</v>
      </c>
      <c r="H1209" t="s">
        <v>87</v>
      </c>
      <c r="I1209" t="s">
        <v>4357</v>
      </c>
      <c r="J1209" s="9"/>
      <c r="K1209" s="9"/>
      <c r="L1209" s="9"/>
    </row>
    <row r="1210" spans="2:12" ht="15" x14ac:dyDescent="0.25">
      <c r="B1210" t="s">
        <v>1191</v>
      </c>
      <c r="C1210" t="s">
        <v>1192</v>
      </c>
      <c r="D1210" t="str">
        <f>HYPERLINK("https://rhld.insurance.arkansas.gov/NPILookup?Npi=1770503526","1770503526")</f>
        <v>1770503526</v>
      </c>
      <c r="E1210" t="s">
        <v>4439</v>
      </c>
      <c r="F1210" t="s">
        <v>13</v>
      </c>
      <c r="G1210" s="20">
        <v>1</v>
      </c>
      <c r="H1210" t="s">
        <v>87</v>
      </c>
      <c r="I1210" t="s">
        <v>4357</v>
      </c>
      <c r="J1210" s="9"/>
      <c r="K1210" s="9"/>
      <c r="L1210" s="9"/>
    </row>
    <row r="1211" spans="2:12" ht="15" x14ac:dyDescent="0.25">
      <c r="B1211" t="s">
        <v>1191</v>
      </c>
      <c r="C1211" t="s">
        <v>1192</v>
      </c>
      <c r="D1211" t="str">
        <f>HYPERLINK("https://rhld.insurance.arkansas.gov/NPILookup?Npi=1780237990","1780237990")</f>
        <v>1780237990</v>
      </c>
      <c r="E1211" t="s">
        <v>4440</v>
      </c>
      <c r="F1211" t="s">
        <v>13</v>
      </c>
      <c r="G1211" s="20">
        <v>1</v>
      </c>
      <c r="H1211" t="s">
        <v>87</v>
      </c>
      <c r="I1211" t="s">
        <v>4357</v>
      </c>
      <c r="J1211" s="9"/>
      <c r="K1211" s="9"/>
      <c r="L1211" s="9"/>
    </row>
    <row r="1212" spans="2:12" ht="15" x14ac:dyDescent="0.25">
      <c r="B1212" t="s">
        <v>1191</v>
      </c>
      <c r="C1212" t="s">
        <v>1192</v>
      </c>
      <c r="D1212" t="str">
        <f>HYPERLINK("https://rhld.insurance.arkansas.gov/NPILookup?Npi=1780846303","1780846303")</f>
        <v>1780846303</v>
      </c>
      <c r="E1212" t="s">
        <v>4441</v>
      </c>
      <c r="F1212" t="s">
        <v>13</v>
      </c>
      <c r="G1212" s="20">
        <v>1</v>
      </c>
      <c r="H1212" t="s">
        <v>87</v>
      </c>
      <c r="I1212" t="s">
        <v>4357</v>
      </c>
      <c r="J1212" s="9"/>
      <c r="K1212" s="9"/>
      <c r="L1212" s="9"/>
    </row>
    <row r="1213" spans="2:12" ht="15" x14ac:dyDescent="0.25">
      <c r="B1213" t="s">
        <v>1191</v>
      </c>
      <c r="C1213" t="s">
        <v>1192</v>
      </c>
      <c r="D1213" t="str">
        <f>HYPERLINK("https://rhld.insurance.arkansas.gov/NPILookup?Npi=1790292100","1790292100")</f>
        <v>1790292100</v>
      </c>
      <c r="E1213" t="s">
        <v>4442</v>
      </c>
      <c r="F1213" t="s">
        <v>13</v>
      </c>
      <c r="G1213" s="20">
        <v>1</v>
      </c>
      <c r="H1213" t="s">
        <v>87</v>
      </c>
      <c r="I1213" t="s">
        <v>4357</v>
      </c>
      <c r="J1213" s="9"/>
      <c r="K1213" s="9"/>
      <c r="L1213" s="9"/>
    </row>
    <row r="1214" spans="2:12" ht="15" x14ac:dyDescent="0.25">
      <c r="B1214" t="s">
        <v>1191</v>
      </c>
      <c r="C1214" t="s">
        <v>1192</v>
      </c>
      <c r="D1214" t="str">
        <f>HYPERLINK("https://rhld.insurance.arkansas.gov/NPILookup?Npi=1801021886","1801021886")</f>
        <v>1801021886</v>
      </c>
      <c r="E1214" t="s">
        <v>4443</v>
      </c>
      <c r="F1214" t="s">
        <v>13</v>
      </c>
      <c r="G1214" s="20">
        <v>1</v>
      </c>
      <c r="H1214" t="s">
        <v>87</v>
      </c>
      <c r="I1214" t="s">
        <v>4357</v>
      </c>
      <c r="J1214" s="9"/>
      <c r="K1214" s="9"/>
      <c r="L1214" s="9"/>
    </row>
    <row r="1215" spans="2:12" ht="15" x14ac:dyDescent="0.25">
      <c r="B1215" t="s">
        <v>1191</v>
      </c>
      <c r="C1215" t="s">
        <v>1192</v>
      </c>
      <c r="D1215" t="str">
        <f>HYPERLINK("https://rhld.insurance.arkansas.gov/NPILookup?Npi=1790886356","1790886356")</f>
        <v>1790886356</v>
      </c>
      <c r="E1215" t="s">
        <v>1267</v>
      </c>
      <c r="F1215" t="s">
        <v>12</v>
      </c>
      <c r="G1215" s="20">
        <v>1</v>
      </c>
      <c r="H1215" t="s">
        <v>139</v>
      </c>
      <c r="I1215" t="s">
        <v>32</v>
      </c>
      <c r="J1215" s="9"/>
      <c r="K1215" s="9"/>
      <c r="L1215" s="9"/>
    </row>
    <row r="1216" spans="2:12" ht="15" x14ac:dyDescent="0.25">
      <c r="B1216" t="s">
        <v>1191</v>
      </c>
      <c r="C1216" t="s">
        <v>1192</v>
      </c>
      <c r="D1216" t="str">
        <f>HYPERLINK("https://rhld.insurance.arkansas.gov/NPILookup?Npi=1801121355","1801121355")</f>
        <v>1801121355</v>
      </c>
      <c r="E1216" t="s">
        <v>1268</v>
      </c>
      <c r="F1216" t="s">
        <v>13</v>
      </c>
      <c r="G1216" s="20">
        <v>2</v>
      </c>
      <c r="H1216" t="s">
        <v>439</v>
      </c>
      <c r="I1216" t="s">
        <v>4357</v>
      </c>
      <c r="J1216" s="9"/>
      <c r="K1216" s="9"/>
      <c r="L1216" s="9"/>
    </row>
    <row r="1217" spans="2:12" ht="15" x14ac:dyDescent="0.25">
      <c r="B1217" t="s">
        <v>1191</v>
      </c>
      <c r="C1217" t="s">
        <v>1192</v>
      </c>
      <c r="D1217" t="str">
        <f>HYPERLINK("https://rhld.insurance.arkansas.gov/NPILookup?Npi=1801241260","1801241260")</f>
        <v>1801241260</v>
      </c>
      <c r="E1217" t="s">
        <v>4444</v>
      </c>
      <c r="F1217" t="s">
        <v>13</v>
      </c>
      <c r="G1217" s="20">
        <v>1</v>
      </c>
      <c r="H1217" t="s">
        <v>87</v>
      </c>
      <c r="I1217" t="s">
        <v>4357</v>
      </c>
      <c r="J1217" s="9"/>
      <c r="K1217" s="9"/>
      <c r="L1217" s="9"/>
    </row>
    <row r="1218" spans="2:12" ht="15" x14ac:dyDescent="0.25">
      <c r="B1218" t="s">
        <v>1191</v>
      </c>
      <c r="C1218" t="s">
        <v>1192</v>
      </c>
      <c r="D1218" t="str">
        <f>HYPERLINK("https://rhld.insurance.arkansas.gov/NPILookup?Npi=1801373089","1801373089")</f>
        <v>1801373089</v>
      </c>
      <c r="E1218" t="s">
        <v>4445</v>
      </c>
      <c r="F1218" t="s">
        <v>13</v>
      </c>
      <c r="G1218" s="20">
        <v>1</v>
      </c>
      <c r="H1218" t="s">
        <v>87</v>
      </c>
      <c r="I1218" t="s">
        <v>4357</v>
      </c>
      <c r="J1218" s="9"/>
      <c r="K1218" s="9"/>
      <c r="L1218" s="9"/>
    </row>
    <row r="1219" spans="2:12" ht="15" x14ac:dyDescent="0.25">
      <c r="B1219" t="s">
        <v>1191</v>
      </c>
      <c r="C1219" t="s">
        <v>1192</v>
      </c>
      <c r="D1219" t="str">
        <f>HYPERLINK("https://rhld.insurance.arkansas.gov/NPILookup?Npi=1801385034","1801385034")</f>
        <v>1801385034</v>
      </c>
      <c r="E1219" t="s">
        <v>1269</v>
      </c>
      <c r="F1219" t="s">
        <v>13</v>
      </c>
      <c r="G1219" s="20">
        <v>2</v>
      </c>
      <c r="H1219" t="s">
        <v>439</v>
      </c>
      <c r="I1219" t="s">
        <v>4357</v>
      </c>
      <c r="J1219" s="9"/>
      <c r="K1219" s="9"/>
      <c r="L1219" s="9"/>
    </row>
    <row r="1220" spans="2:12" ht="15" x14ac:dyDescent="0.25">
      <c r="B1220" t="s">
        <v>1191</v>
      </c>
      <c r="C1220" t="s">
        <v>1192</v>
      </c>
      <c r="D1220" t="str">
        <f>HYPERLINK("https://rhld.insurance.arkansas.gov/NPILookup?Npi=1811280100","1811280100")</f>
        <v>1811280100</v>
      </c>
      <c r="E1220" t="s">
        <v>4446</v>
      </c>
      <c r="F1220" t="s">
        <v>13</v>
      </c>
      <c r="G1220" s="20">
        <v>1</v>
      </c>
      <c r="H1220" t="s">
        <v>87</v>
      </c>
      <c r="I1220" t="s">
        <v>4357</v>
      </c>
      <c r="J1220" s="9"/>
      <c r="K1220" s="9"/>
      <c r="L1220" s="9"/>
    </row>
    <row r="1221" spans="2:12" ht="15" x14ac:dyDescent="0.25">
      <c r="B1221" t="s">
        <v>1191</v>
      </c>
      <c r="C1221" t="s">
        <v>1192</v>
      </c>
      <c r="D1221" t="str">
        <f>HYPERLINK("https://rhld.insurance.arkansas.gov/NPILookup?Npi=1811965304","1811965304")</f>
        <v>1811965304</v>
      </c>
      <c r="E1221" t="s">
        <v>4447</v>
      </c>
      <c r="F1221" t="s">
        <v>13</v>
      </c>
      <c r="G1221" s="20">
        <v>1</v>
      </c>
      <c r="H1221" t="s">
        <v>87</v>
      </c>
      <c r="I1221" t="s">
        <v>32</v>
      </c>
      <c r="J1221" s="9"/>
      <c r="K1221" s="9"/>
      <c r="L1221" s="9"/>
    </row>
    <row r="1222" spans="2:12" ht="15" x14ac:dyDescent="0.25">
      <c r="B1222" t="s">
        <v>1191</v>
      </c>
      <c r="C1222" t="s">
        <v>1192</v>
      </c>
      <c r="D1222" t="str">
        <f>HYPERLINK("https://rhld.insurance.arkansas.gov/NPILookup?Npi=1841635422","1841635422")</f>
        <v>1841635422</v>
      </c>
      <c r="E1222" t="s">
        <v>4448</v>
      </c>
      <c r="F1222" t="s">
        <v>13</v>
      </c>
      <c r="G1222" s="20">
        <v>1</v>
      </c>
      <c r="H1222" t="s">
        <v>87</v>
      </c>
      <c r="I1222" t="s">
        <v>4357</v>
      </c>
      <c r="J1222" s="9"/>
      <c r="K1222" s="9"/>
      <c r="L1222" s="9"/>
    </row>
    <row r="1223" spans="2:12" ht="15" x14ac:dyDescent="0.25">
      <c r="B1223" t="s">
        <v>1191</v>
      </c>
      <c r="C1223" t="s">
        <v>1192</v>
      </c>
      <c r="D1223" t="str">
        <f>HYPERLINK("https://rhld.insurance.arkansas.gov/NPILookup?Npi=1821550245","1821550245")</f>
        <v>1821550245</v>
      </c>
      <c r="E1223" t="s">
        <v>1270</v>
      </c>
      <c r="F1223" t="s">
        <v>12</v>
      </c>
      <c r="G1223" s="20">
        <v>1</v>
      </c>
      <c r="H1223" t="s">
        <v>4338</v>
      </c>
      <c r="I1223" t="s">
        <v>32</v>
      </c>
      <c r="J1223" s="9"/>
      <c r="K1223" s="9"/>
      <c r="L1223" s="9"/>
    </row>
    <row r="1224" spans="2:12" ht="15" x14ac:dyDescent="0.25">
      <c r="B1224" t="s">
        <v>1191</v>
      </c>
      <c r="C1224" t="s">
        <v>1192</v>
      </c>
      <c r="D1224" t="str">
        <f>HYPERLINK("https://rhld.insurance.arkansas.gov/NPILookup?Npi=1831115419","1831115419")</f>
        <v>1831115419</v>
      </c>
      <c r="E1224" t="s">
        <v>1271</v>
      </c>
      <c r="F1224" t="s">
        <v>12</v>
      </c>
      <c r="G1224" s="20">
        <v>1</v>
      </c>
      <c r="H1224" t="s">
        <v>4338</v>
      </c>
      <c r="I1224" t="s">
        <v>4357</v>
      </c>
      <c r="J1224" s="9"/>
      <c r="K1224" s="9"/>
      <c r="L1224" s="9"/>
    </row>
    <row r="1225" spans="2:12" ht="15" x14ac:dyDescent="0.25">
      <c r="B1225" t="s">
        <v>1191</v>
      </c>
      <c r="C1225" t="s">
        <v>1192</v>
      </c>
      <c r="D1225" t="str">
        <f>HYPERLINK("https://rhld.insurance.arkansas.gov/NPILookup?Npi=1831154004","1831154004")</f>
        <v>1831154004</v>
      </c>
      <c r="E1225" t="s">
        <v>1272</v>
      </c>
      <c r="F1225" t="s">
        <v>12</v>
      </c>
      <c r="G1225" s="20">
        <v>1</v>
      </c>
      <c r="H1225" t="s">
        <v>4338</v>
      </c>
      <c r="I1225" t="s">
        <v>32</v>
      </c>
      <c r="J1225" s="9"/>
      <c r="K1225" s="9"/>
      <c r="L1225" s="9"/>
    </row>
    <row r="1226" spans="2:12" ht="15" x14ac:dyDescent="0.25">
      <c r="B1226" t="s">
        <v>1191</v>
      </c>
      <c r="C1226" t="s">
        <v>1192</v>
      </c>
      <c r="D1226" t="str">
        <f>HYPERLINK("https://rhld.insurance.arkansas.gov/NPILookup?Npi=1831400621","1831400621")</f>
        <v>1831400621</v>
      </c>
      <c r="E1226" t="s">
        <v>1095</v>
      </c>
      <c r="F1226" t="s">
        <v>12</v>
      </c>
      <c r="G1226" s="20">
        <v>1</v>
      </c>
      <c r="H1226" t="s">
        <v>4338</v>
      </c>
      <c r="I1226" t="s">
        <v>32</v>
      </c>
      <c r="J1226" s="9"/>
      <c r="K1226" s="9"/>
      <c r="L1226" s="9"/>
    </row>
    <row r="1227" spans="2:12" ht="15" x14ac:dyDescent="0.25">
      <c r="B1227" t="s">
        <v>1191</v>
      </c>
      <c r="C1227" t="s">
        <v>1192</v>
      </c>
      <c r="D1227" t="str">
        <f>HYPERLINK("https://rhld.insurance.arkansas.gov/NPILookup?Npi=1841491925","1841491925")</f>
        <v>1841491925</v>
      </c>
      <c r="E1227" t="s">
        <v>1273</v>
      </c>
      <c r="F1227" t="s">
        <v>12</v>
      </c>
      <c r="G1227" s="20">
        <v>1</v>
      </c>
      <c r="H1227" t="s">
        <v>4338</v>
      </c>
      <c r="I1227" t="s">
        <v>32</v>
      </c>
      <c r="J1227" s="9"/>
      <c r="K1227" s="9"/>
      <c r="L1227" s="9"/>
    </row>
    <row r="1228" spans="2:12" ht="15" x14ac:dyDescent="0.25">
      <c r="B1228" t="s">
        <v>1191</v>
      </c>
      <c r="C1228" t="s">
        <v>1192</v>
      </c>
      <c r="D1228" t="str">
        <f>HYPERLINK("https://rhld.insurance.arkansas.gov/NPILookup?Npi=1851826309","1851826309")</f>
        <v>1851826309</v>
      </c>
      <c r="E1228" t="s">
        <v>4449</v>
      </c>
      <c r="F1228" t="s">
        <v>13</v>
      </c>
      <c r="G1228" s="20">
        <v>1</v>
      </c>
      <c r="H1228" t="s">
        <v>87</v>
      </c>
      <c r="I1228" t="s">
        <v>4357</v>
      </c>
      <c r="J1228" s="9"/>
      <c r="K1228" s="9"/>
      <c r="L1228" s="9"/>
    </row>
    <row r="1229" spans="2:12" ht="15" x14ac:dyDescent="0.25">
      <c r="B1229" t="s">
        <v>1191</v>
      </c>
      <c r="C1229" t="s">
        <v>1192</v>
      </c>
      <c r="D1229" t="str">
        <f>HYPERLINK("https://rhld.insurance.arkansas.gov/NPILookup?Npi=1871722520","1871722520")</f>
        <v>1871722520</v>
      </c>
      <c r="E1229" t="s">
        <v>4450</v>
      </c>
      <c r="F1229" t="s">
        <v>13</v>
      </c>
      <c r="G1229" s="20">
        <v>1</v>
      </c>
      <c r="H1229" t="s">
        <v>87</v>
      </c>
      <c r="I1229" t="s">
        <v>4357</v>
      </c>
      <c r="J1229" s="9"/>
      <c r="K1229" s="9"/>
      <c r="L1229" s="9"/>
    </row>
    <row r="1230" spans="2:12" ht="15" x14ac:dyDescent="0.25">
      <c r="B1230" t="s">
        <v>1191</v>
      </c>
      <c r="C1230" t="s">
        <v>1192</v>
      </c>
      <c r="D1230" t="str">
        <f>HYPERLINK("https://rhld.insurance.arkansas.gov/NPILookup?Npi=1861550790","1861550790")</f>
        <v>1861550790</v>
      </c>
      <c r="E1230" t="s">
        <v>1274</v>
      </c>
      <c r="F1230" t="s">
        <v>12</v>
      </c>
      <c r="G1230" s="20">
        <v>1</v>
      </c>
      <c r="H1230" t="s">
        <v>4338</v>
      </c>
      <c r="I1230" t="s">
        <v>32</v>
      </c>
      <c r="J1230" s="9"/>
      <c r="K1230" s="9"/>
      <c r="L1230" s="9"/>
    </row>
    <row r="1231" spans="2:12" ht="15" x14ac:dyDescent="0.25">
      <c r="B1231" t="s">
        <v>1191</v>
      </c>
      <c r="C1231" t="s">
        <v>1192</v>
      </c>
      <c r="D1231" t="str">
        <f>HYPERLINK("https://rhld.insurance.arkansas.gov/NPILookup?Npi=1871988170","1871988170")</f>
        <v>1871988170</v>
      </c>
      <c r="E1231" t="s">
        <v>4451</v>
      </c>
      <c r="F1231" t="s">
        <v>13</v>
      </c>
      <c r="G1231" s="20">
        <v>1</v>
      </c>
      <c r="H1231" t="s">
        <v>87</v>
      </c>
      <c r="I1231" t="s">
        <v>4357</v>
      </c>
      <c r="J1231" s="9"/>
      <c r="K1231" s="9"/>
      <c r="L1231" s="9"/>
    </row>
    <row r="1232" spans="2:12" ht="15" x14ac:dyDescent="0.25">
      <c r="B1232" t="s">
        <v>1191</v>
      </c>
      <c r="C1232" t="s">
        <v>1192</v>
      </c>
      <c r="D1232" t="str">
        <f>HYPERLINK("https://rhld.insurance.arkansas.gov/NPILookup?Npi=1891144853","1891144853")</f>
        <v>1891144853</v>
      </c>
      <c r="E1232" t="s">
        <v>1277</v>
      </c>
      <c r="F1232" t="s">
        <v>13</v>
      </c>
      <c r="G1232" s="20">
        <v>2</v>
      </c>
      <c r="H1232" t="s">
        <v>439</v>
      </c>
      <c r="I1232" t="s">
        <v>4357</v>
      </c>
      <c r="J1232" s="9"/>
      <c r="K1232" s="9"/>
      <c r="L1232" s="9"/>
    </row>
    <row r="1233" spans="2:12" ht="15" x14ac:dyDescent="0.25">
      <c r="B1233" t="s">
        <v>1191</v>
      </c>
      <c r="C1233" t="s">
        <v>1192</v>
      </c>
      <c r="D1233" t="str">
        <f>HYPERLINK("https://rhld.insurance.arkansas.gov/NPILookup?Npi=1891141644","1891141644")</f>
        <v>1891141644</v>
      </c>
      <c r="E1233" t="s">
        <v>1276</v>
      </c>
      <c r="F1233" t="s">
        <v>12</v>
      </c>
      <c r="G1233" s="20">
        <v>1</v>
      </c>
      <c r="H1233" t="s">
        <v>4338</v>
      </c>
      <c r="I1233" t="s">
        <v>32</v>
      </c>
      <c r="J1233" s="9"/>
      <c r="K1233" s="9"/>
      <c r="L1233" s="9"/>
    </row>
    <row r="1234" spans="2:12" ht="15" x14ac:dyDescent="0.25">
      <c r="B1234" t="s">
        <v>1191</v>
      </c>
      <c r="C1234" t="s">
        <v>1192</v>
      </c>
      <c r="D1234" t="str">
        <f>HYPERLINK("https://rhld.insurance.arkansas.gov/NPILookup?Npi=1891956678","1891956678")</f>
        <v>1891956678</v>
      </c>
      <c r="E1234" t="s">
        <v>4452</v>
      </c>
      <c r="F1234" t="s">
        <v>13</v>
      </c>
      <c r="G1234" s="20">
        <v>1</v>
      </c>
      <c r="H1234" t="s">
        <v>87</v>
      </c>
      <c r="I1234" t="s">
        <v>4357</v>
      </c>
      <c r="J1234" s="9"/>
      <c r="K1234" s="9"/>
      <c r="L1234" s="9"/>
    </row>
    <row r="1235" spans="2:12" ht="15" x14ac:dyDescent="0.25">
      <c r="B1235" t="s">
        <v>1191</v>
      </c>
      <c r="C1235" t="s">
        <v>1192</v>
      </c>
      <c r="D1235" t="str">
        <f>HYPERLINK("https://rhld.insurance.arkansas.gov/NPILookup?Npi=1891833505","1891833505")</f>
        <v>1891833505</v>
      </c>
      <c r="E1235" t="s">
        <v>1278</v>
      </c>
      <c r="F1235" t="s">
        <v>12</v>
      </c>
      <c r="G1235" s="20">
        <v>1</v>
      </c>
      <c r="H1235" t="s">
        <v>4338</v>
      </c>
      <c r="I1235" t="s">
        <v>32</v>
      </c>
      <c r="J1235" s="9"/>
      <c r="K1235" s="9"/>
      <c r="L1235" s="9"/>
    </row>
    <row r="1236" spans="2:12" ht="15" x14ac:dyDescent="0.25">
      <c r="B1236" t="s">
        <v>1191</v>
      </c>
      <c r="C1236" t="s">
        <v>1192</v>
      </c>
      <c r="D1236" t="str">
        <f>HYPERLINK("https://rhld.insurance.arkansas.gov/NPILookup?Npi=1891880373","1891880373")</f>
        <v>1891880373</v>
      </c>
      <c r="E1236" t="s">
        <v>1279</v>
      </c>
      <c r="F1236" t="s">
        <v>12</v>
      </c>
      <c r="G1236" s="20">
        <v>1</v>
      </c>
      <c r="H1236" t="s">
        <v>4338</v>
      </c>
      <c r="I1236" t="s">
        <v>32</v>
      </c>
      <c r="J1236" s="9"/>
      <c r="K1236" s="9"/>
      <c r="L1236" s="9"/>
    </row>
    <row r="1237" spans="2:12" ht="15" x14ac:dyDescent="0.25">
      <c r="B1237" t="s">
        <v>1191</v>
      </c>
      <c r="C1237" t="s">
        <v>1192</v>
      </c>
      <c r="D1237" t="str">
        <f>HYPERLINK("https://rhld.insurance.arkansas.gov/NPILookup?Npi=1902268626","1902268626")</f>
        <v>1902268626</v>
      </c>
      <c r="E1237" t="s">
        <v>4453</v>
      </c>
      <c r="F1237" t="s">
        <v>13</v>
      </c>
      <c r="G1237" s="20">
        <v>1</v>
      </c>
      <c r="H1237" t="s">
        <v>87</v>
      </c>
      <c r="I1237" t="s">
        <v>4357</v>
      </c>
      <c r="J1237" s="9"/>
      <c r="K1237" s="9"/>
      <c r="L1237" s="9"/>
    </row>
    <row r="1238" spans="2:12" ht="15" x14ac:dyDescent="0.25">
      <c r="B1238" t="s">
        <v>1191</v>
      </c>
      <c r="C1238" t="s">
        <v>1192</v>
      </c>
      <c r="D1238" t="str">
        <f>HYPERLINK("https://rhld.insurance.arkansas.gov/NPILookup?Npi=1902366560","1902366560")</f>
        <v>1902366560</v>
      </c>
      <c r="E1238" t="s">
        <v>4454</v>
      </c>
      <c r="F1238" t="s">
        <v>13</v>
      </c>
      <c r="G1238" s="20">
        <v>1</v>
      </c>
      <c r="H1238" t="s">
        <v>87</v>
      </c>
      <c r="I1238" t="s">
        <v>4357</v>
      </c>
      <c r="J1238" s="9"/>
      <c r="K1238" s="9"/>
      <c r="L1238" s="9"/>
    </row>
    <row r="1239" spans="2:12" ht="15" x14ac:dyDescent="0.25">
      <c r="B1239" t="s">
        <v>1191</v>
      </c>
      <c r="C1239" t="s">
        <v>1192</v>
      </c>
      <c r="D1239" t="str">
        <f>HYPERLINK("https://rhld.insurance.arkansas.gov/NPILookup?Npi=1902331747","1902331747")</f>
        <v>1902331747</v>
      </c>
      <c r="E1239" t="s">
        <v>1280</v>
      </c>
      <c r="F1239" t="s">
        <v>12</v>
      </c>
      <c r="G1239" s="20">
        <v>1</v>
      </c>
      <c r="H1239" t="s">
        <v>4338</v>
      </c>
      <c r="I1239" t="s">
        <v>32</v>
      </c>
      <c r="J1239" s="9"/>
      <c r="K1239" s="9"/>
      <c r="L1239" s="9"/>
    </row>
    <row r="1240" spans="2:12" ht="15" x14ac:dyDescent="0.25">
      <c r="B1240" t="s">
        <v>1191</v>
      </c>
      <c r="C1240" t="s">
        <v>1192</v>
      </c>
      <c r="D1240" t="str">
        <f>HYPERLINK("https://rhld.insurance.arkansas.gov/NPILookup?Npi=1902396559","1902396559")</f>
        <v>1902396559</v>
      </c>
      <c r="E1240" t="s">
        <v>4455</v>
      </c>
      <c r="F1240" t="s">
        <v>13</v>
      </c>
      <c r="G1240" s="20">
        <v>1</v>
      </c>
      <c r="H1240" t="s">
        <v>87</v>
      </c>
      <c r="I1240" t="s">
        <v>4357</v>
      </c>
      <c r="J1240" s="9"/>
      <c r="K1240" s="9"/>
      <c r="L1240" s="9"/>
    </row>
    <row r="1241" spans="2:12" ht="15" x14ac:dyDescent="0.25">
      <c r="B1241" t="s">
        <v>1191</v>
      </c>
      <c r="C1241" t="s">
        <v>1192</v>
      </c>
      <c r="D1241" t="str">
        <f>HYPERLINK("https://rhld.insurance.arkansas.gov/NPILookup?Npi=1912165374","1912165374")</f>
        <v>1912165374</v>
      </c>
      <c r="E1241" t="s">
        <v>4456</v>
      </c>
      <c r="F1241" t="s">
        <v>13</v>
      </c>
      <c r="G1241" s="20">
        <v>1</v>
      </c>
      <c r="H1241" t="s">
        <v>87</v>
      </c>
      <c r="I1241" t="s">
        <v>4357</v>
      </c>
      <c r="J1241" s="9"/>
      <c r="K1241" s="9"/>
      <c r="L1241" s="9"/>
    </row>
    <row r="1242" spans="2:12" ht="15" x14ac:dyDescent="0.25">
      <c r="B1242" t="s">
        <v>1191</v>
      </c>
      <c r="C1242" t="s">
        <v>1192</v>
      </c>
      <c r="D1242" t="str">
        <f>HYPERLINK("https://rhld.insurance.arkansas.gov/NPILookup?Npi=1912936725","1912936725")</f>
        <v>1912936725</v>
      </c>
      <c r="E1242" t="s">
        <v>4457</v>
      </c>
      <c r="F1242" t="s">
        <v>13</v>
      </c>
      <c r="G1242" s="20">
        <v>1</v>
      </c>
      <c r="H1242" t="s">
        <v>87</v>
      </c>
      <c r="I1242" t="s">
        <v>4357</v>
      </c>
      <c r="J1242" s="9"/>
      <c r="K1242" s="9"/>
      <c r="L1242" s="9"/>
    </row>
    <row r="1243" spans="2:12" ht="15" x14ac:dyDescent="0.25">
      <c r="B1243" t="s">
        <v>1191</v>
      </c>
      <c r="C1243" t="s">
        <v>1192</v>
      </c>
      <c r="D1243" t="str">
        <f>HYPERLINK("https://rhld.insurance.arkansas.gov/NPILookup?Npi=1912933409","1912933409")</f>
        <v>1912933409</v>
      </c>
      <c r="E1243" t="s">
        <v>1281</v>
      </c>
      <c r="F1243" t="s">
        <v>12</v>
      </c>
      <c r="G1243" s="20">
        <v>1</v>
      </c>
      <c r="H1243" t="s">
        <v>4338</v>
      </c>
      <c r="I1243" t="s">
        <v>32</v>
      </c>
      <c r="J1243" s="9"/>
      <c r="K1243" s="9"/>
      <c r="L1243" s="9"/>
    </row>
    <row r="1244" spans="2:12" ht="15" x14ac:dyDescent="0.25">
      <c r="B1244" t="s">
        <v>1191</v>
      </c>
      <c r="C1244" t="s">
        <v>1192</v>
      </c>
      <c r="D1244" t="str">
        <f>HYPERLINK("https://rhld.insurance.arkansas.gov/NPILookup?Npi=1922453471","1922453471")</f>
        <v>1922453471</v>
      </c>
      <c r="E1244" t="s">
        <v>1282</v>
      </c>
      <c r="F1244" t="s">
        <v>13</v>
      </c>
      <c r="G1244" s="20">
        <v>1</v>
      </c>
      <c r="H1244" t="s">
        <v>4357</v>
      </c>
      <c r="I1244" t="s">
        <v>4357</v>
      </c>
      <c r="J1244" s="9"/>
      <c r="K1244" s="9"/>
      <c r="L1244" s="9"/>
    </row>
    <row r="1245" spans="2:12" ht="15" x14ac:dyDescent="0.25">
      <c r="B1245" t="s">
        <v>1191</v>
      </c>
      <c r="C1245" t="s">
        <v>1192</v>
      </c>
      <c r="D1245" t="str">
        <f>HYPERLINK("https://rhld.insurance.arkansas.gov/NPILookup?Npi=1922066232","1922066232")</f>
        <v>1922066232</v>
      </c>
      <c r="E1245" t="s">
        <v>981</v>
      </c>
      <c r="F1245" t="s">
        <v>12</v>
      </c>
      <c r="G1245" s="20">
        <v>1</v>
      </c>
      <c r="H1245" t="s">
        <v>4338</v>
      </c>
      <c r="I1245" t="s">
        <v>32</v>
      </c>
      <c r="J1245" s="9"/>
      <c r="K1245" s="9"/>
      <c r="L1245" s="9"/>
    </row>
    <row r="1246" spans="2:12" ht="15" x14ac:dyDescent="0.25">
      <c r="B1246" t="s">
        <v>1191</v>
      </c>
      <c r="C1246" t="s">
        <v>1192</v>
      </c>
      <c r="D1246" t="str">
        <f>HYPERLINK("https://rhld.insurance.arkansas.gov/NPILookup?Npi=1932181849","1932181849")</f>
        <v>1932181849</v>
      </c>
      <c r="E1246" t="s">
        <v>4458</v>
      </c>
      <c r="F1246" t="s">
        <v>13</v>
      </c>
      <c r="G1246" s="20">
        <v>1</v>
      </c>
      <c r="H1246" t="s">
        <v>87</v>
      </c>
      <c r="I1246" t="s">
        <v>32</v>
      </c>
      <c r="J1246" s="9"/>
      <c r="K1246" s="9"/>
      <c r="L1246" s="9"/>
    </row>
    <row r="1247" spans="2:12" ht="15" x14ac:dyDescent="0.25">
      <c r="B1247" t="s">
        <v>1191</v>
      </c>
      <c r="C1247" t="s">
        <v>1192</v>
      </c>
      <c r="D1247" t="str">
        <f>HYPERLINK("https://rhld.insurance.arkansas.gov/NPILookup?Npi=1932427218","1932427218")</f>
        <v>1932427218</v>
      </c>
      <c r="E1247" t="s">
        <v>1283</v>
      </c>
      <c r="F1247" t="s">
        <v>13</v>
      </c>
      <c r="G1247" s="20">
        <v>1</v>
      </c>
      <c r="H1247" t="s">
        <v>87</v>
      </c>
      <c r="I1247" t="s">
        <v>4357</v>
      </c>
      <c r="J1247" s="9"/>
      <c r="K1247" s="9"/>
      <c r="L1247" s="9"/>
    </row>
    <row r="1248" spans="2:12" ht="15" x14ac:dyDescent="0.25">
      <c r="B1248" t="s">
        <v>1191</v>
      </c>
      <c r="C1248" t="s">
        <v>1192</v>
      </c>
      <c r="D1248" t="str">
        <f>HYPERLINK("https://rhld.insurance.arkansas.gov/NPILookup?Npi=1952756058","1952756058")</f>
        <v>1952756058</v>
      </c>
      <c r="E1248" t="s">
        <v>4459</v>
      </c>
      <c r="F1248" t="s">
        <v>13</v>
      </c>
      <c r="G1248" s="20">
        <v>1</v>
      </c>
      <c r="H1248" t="s">
        <v>87</v>
      </c>
      <c r="I1248" t="s">
        <v>4357</v>
      </c>
      <c r="J1248" s="9"/>
      <c r="K1248" s="9"/>
      <c r="L1248" s="9"/>
    </row>
    <row r="1249" spans="2:12" ht="15" x14ac:dyDescent="0.25">
      <c r="B1249" t="s">
        <v>1191</v>
      </c>
      <c r="C1249" t="s">
        <v>1192</v>
      </c>
      <c r="D1249" t="str">
        <f>HYPERLINK("https://rhld.insurance.arkansas.gov/NPILookup?Npi=1942290739","1942290739")</f>
        <v>1942290739</v>
      </c>
      <c r="E1249" t="s">
        <v>1284</v>
      </c>
      <c r="F1249" t="s">
        <v>12</v>
      </c>
      <c r="G1249" s="20">
        <v>1</v>
      </c>
      <c r="H1249" t="s">
        <v>4338</v>
      </c>
      <c r="I1249" t="s">
        <v>32</v>
      </c>
      <c r="J1249" s="9"/>
      <c r="K1249" s="9"/>
      <c r="L1249" s="9"/>
    </row>
    <row r="1250" spans="2:12" ht="15" x14ac:dyDescent="0.25">
      <c r="B1250" t="s">
        <v>1191</v>
      </c>
      <c r="C1250" t="s">
        <v>1192</v>
      </c>
      <c r="D1250" t="str">
        <f>HYPERLINK("https://rhld.insurance.arkansas.gov/NPILookup?Npi=1942447149","1942447149")</f>
        <v>1942447149</v>
      </c>
      <c r="E1250" t="s">
        <v>1104</v>
      </c>
      <c r="F1250" t="s">
        <v>12</v>
      </c>
      <c r="G1250" s="20">
        <v>1</v>
      </c>
      <c r="H1250" t="s">
        <v>4338</v>
      </c>
      <c r="I1250" t="s">
        <v>32</v>
      </c>
      <c r="J1250" s="9"/>
      <c r="K1250" s="9"/>
      <c r="L1250" s="9"/>
    </row>
    <row r="1251" spans="2:12" ht="15" x14ac:dyDescent="0.25">
      <c r="B1251" t="s">
        <v>1191</v>
      </c>
      <c r="C1251" t="s">
        <v>1192</v>
      </c>
      <c r="D1251" t="str">
        <f>HYPERLINK("https://rhld.insurance.arkansas.gov/NPILookup?Npi=1952613960","1952613960")</f>
        <v>1952613960</v>
      </c>
      <c r="E1251" t="s">
        <v>1285</v>
      </c>
      <c r="F1251" t="s">
        <v>12</v>
      </c>
      <c r="G1251" s="20">
        <v>1</v>
      </c>
      <c r="H1251" t="s">
        <v>4338</v>
      </c>
      <c r="I1251" t="s">
        <v>32</v>
      </c>
      <c r="J1251" s="9"/>
      <c r="K1251" s="9"/>
      <c r="L1251" s="9"/>
    </row>
    <row r="1252" spans="2:12" ht="15" x14ac:dyDescent="0.25">
      <c r="B1252" t="s">
        <v>1191</v>
      </c>
      <c r="C1252" t="s">
        <v>1192</v>
      </c>
      <c r="D1252" t="str">
        <f>HYPERLINK("https://rhld.insurance.arkansas.gov/NPILookup?Npi=1952780108","1952780108")</f>
        <v>1952780108</v>
      </c>
      <c r="E1252" t="s">
        <v>4460</v>
      </c>
      <c r="F1252" t="s">
        <v>13</v>
      </c>
      <c r="G1252" s="20">
        <v>1</v>
      </c>
      <c r="H1252" t="s">
        <v>87</v>
      </c>
      <c r="I1252" t="s">
        <v>4357</v>
      </c>
      <c r="J1252" s="9"/>
      <c r="K1252" s="9"/>
      <c r="L1252" s="9"/>
    </row>
    <row r="1253" spans="2:12" ht="15" x14ac:dyDescent="0.25">
      <c r="B1253" t="s">
        <v>1191</v>
      </c>
      <c r="C1253" t="s">
        <v>1192</v>
      </c>
      <c r="D1253" t="str">
        <f>HYPERLINK("https://rhld.insurance.arkansas.gov/NPILookup?Npi=1952806390","1952806390")</f>
        <v>1952806390</v>
      </c>
      <c r="E1253" t="s">
        <v>4461</v>
      </c>
      <c r="F1253" t="s">
        <v>13</v>
      </c>
      <c r="G1253" s="20">
        <v>1</v>
      </c>
      <c r="H1253" t="s">
        <v>87</v>
      </c>
      <c r="I1253" t="s">
        <v>4357</v>
      </c>
      <c r="J1253" s="9"/>
      <c r="K1253" s="9"/>
      <c r="L1253" s="9"/>
    </row>
    <row r="1254" spans="2:12" ht="15" x14ac:dyDescent="0.25">
      <c r="B1254" t="s">
        <v>1191</v>
      </c>
      <c r="C1254" t="s">
        <v>1192</v>
      </c>
      <c r="D1254" t="str">
        <f>HYPERLINK("https://rhld.insurance.arkansas.gov/NPILookup?Npi=1962842492","1962842492")</f>
        <v>1962842492</v>
      </c>
      <c r="E1254" t="s">
        <v>4462</v>
      </c>
      <c r="F1254" t="s">
        <v>13</v>
      </c>
      <c r="G1254" s="20">
        <v>1</v>
      </c>
      <c r="H1254" t="s">
        <v>87</v>
      </c>
      <c r="I1254" t="s">
        <v>4357</v>
      </c>
      <c r="J1254" s="9"/>
      <c r="K1254" s="9"/>
      <c r="L1254" s="9"/>
    </row>
    <row r="1255" spans="2:12" ht="15" x14ac:dyDescent="0.25">
      <c r="B1255" t="s">
        <v>1191</v>
      </c>
      <c r="C1255" t="s">
        <v>1192</v>
      </c>
      <c r="D1255" t="str">
        <f>HYPERLINK("https://rhld.insurance.arkansas.gov/NPILookup?Npi=1982194239","1982194239")</f>
        <v>1982194239</v>
      </c>
      <c r="E1255" t="s">
        <v>4463</v>
      </c>
      <c r="F1255" t="s">
        <v>13</v>
      </c>
      <c r="G1255" s="20">
        <v>1</v>
      </c>
      <c r="H1255" t="s">
        <v>87</v>
      </c>
      <c r="I1255" t="s">
        <v>4357</v>
      </c>
      <c r="J1255" s="9"/>
      <c r="K1255" s="9"/>
      <c r="L1255" s="9"/>
    </row>
    <row r="1256" spans="2:12" ht="15" x14ac:dyDescent="0.25">
      <c r="B1256" t="s">
        <v>1191</v>
      </c>
      <c r="C1256" t="s">
        <v>1192</v>
      </c>
      <c r="D1256" t="str">
        <f>HYPERLINK("https://rhld.insurance.arkansas.gov/NPILookup?Npi=1962848010","1962848010")</f>
        <v>1962848010</v>
      </c>
      <c r="E1256" t="s">
        <v>1286</v>
      </c>
      <c r="F1256" t="s">
        <v>12</v>
      </c>
      <c r="G1256" s="20">
        <v>1</v>
      </c>
      <c r="H1256" t="s">
        <v>4338</v>
      </c>
      <c r="I1256" t="s">
        <v>32</v>
      </c>
      <c r="J1256" s="9"/>
      <c r="K1256" s="9"/>
      <c r="L1256" s="9"/>
    </row>
    <row r="1257" spans="2:12" ht="15" x14ac:dyDescent="0.25">
      <c r="B1257" t="s">
        <v>1191</v>
      </c>
      <c r="C1257" t="s">
        <v>1192</v>
      </c>
      <c r="D1257" t="str">
        <f>HYPERLINK("https://rhld.insurance.arkansas.gov/NPILookup?Npi=1972544138","1972544138")</f>
        <v>1972544138</v>
      </c>
      <c r="E1257" t="s">
        <v>1287</v>
      </c>
      <c r="F1257" t="s">
        <v>12</v>
      </c>
      <c r="G1257" s="20">
        <v>1</v>
      </c>
      <c r="H1257" t="s">
        <v>4338</v>
      </c>
      <c r="I1257" t="s">
        <v>32</v>
      </c>
      <c r="J1257" s="9"/>
      <c r="K1257" s="9"/>
      <c r="L1257" s="9"/>
    </row>
    <row r="1258" spans="2:12" ht="15" x14ac:dyDescent="0.25">
      <c r="B1258" t="s">
        <v>1191</v>
      </c>
      <c r="C1258" t="s">
        <v>1192</v>
      </c>
      <c r="D1258" t="str">
        <f>HYPERLINK("https://rhld.insurance.arkansas.gov/NPILookup?Npi=1992713234","1992713234")</f>
        <v>1992713234</v>
      </c>
      <c r="E1258" t="s">
        <v>4464</v>
      </c>
      <c r="F1258" t="s">
        <v>13</v>
      </c>
      <c r="G1258" s="20">
        <v>1</v>
      </c>
      <c r="H1258" t="s">
        <v>87</v>
      </c>
      <c r="I1258" t="s">
        <v>4357</v>
      </c>
      <c r="J1258" s="9"/>
      <c r="K1258" s="9"/>
      <c r="L1258" s="9"/>
    </row>
    <row r="1259" spans="2:12" ht="15" x14ac:dyDescent="0.25">
      <c r="B1259" t="s">
        <v>1290</v>
      </c>
      <c r="C1259" t="s">
        <v>1291</v>
      </c>
      <c r="D1259" t="str">
        <f>HYPERLINK("https://rhld.insurance.arkansas.gov/NPILookup?Npi=1124016662","1124016662")</f>
        <v>1124016662</v>
      </c>
      <c r="E1259" t="s">
        <v>1293</v>
      </c>
      <c r="F1259" t="s">
        <v>13</v>
      </c>
      <c r="G1259" s="20">
        <v>1</v>
      </c>
      <c r="H1259" t="s">
        <v>87</v>
      </c>
      <c r="I1259" t="s">
        <v>32</v>
      </c>
      <c r="J1259" s="9"/>
      <c r="K1259" s="9"/>
      <c r="L1259" s="9"/>
    </row>
    <row r="1260" spans="2:12" ht="15" x14ac:dyDescent="0.25">
      <c r="B1260" t="s">
        <v>1191</v>
      </c>
      <c r="C1260" t="s">
        <v>1192</v>
      </c>
      <c r="D1260" t="str">
        <f>HYPERLINK("https://rhld.insurance.arkansas.gov/NPILookup?Npi=1992721880","1992721880")</f>
        <v>1992721880</v>
      </c>
      <c r="E1260" t="s">
        <v>1288</v>
      </c>
      <c r="F1260" t="s">
        <v>12</v>
      </c>
      <c r="G1260" s="20">
        <v>1</v>
      </c>
      <c r="H1260" t="s">
        <v>4338</v>
      </c>
      <c r="I1260" t="s">
        <v>32</v>
      </c>
      <c r="J1260" s="9"/>
      <c r="K1260" s="9"/>
      <c r="L1260" s="9"/>
    </row>
    <row r="1261" spans="2:12" ht="15" x14ac:dyDescent="0.25">
      <c r="B1261" t="s">
        <v>1191</v>
      </c>
      <c r="C1261" t="s">
        <v>1192</v>
      </c>
      <c r="D1261" t="str">
        <f>HYPERLINK("https://rhld.insurance.arkansas.gov/NPILookup?Npi=1992740393","1992740393")</f>
        <v>1992740393</v>
      </c>
      <c r="E1261" t="s">
        <v>1289</v>
      </c>
      <c r="F1261" t="s">
        <v>12</v>
      </c>
      <c r="G1261" s="20">
        <v>1</v>
      </c>
      <c r="H1261" t="s">
        <v>4338</v>
      </c>
      <c r="I1261" t="s">
        <v>32</v>
      </c>
      <c r="J1261" s="9"/>
      <c r="K1261" s="9"/>
      <c r="L1261" s="9"/>
    </row>
    <row r="1262" spans="2:12" ht="15" x14ac:dyDescent="0.25">
      <c r="B1262" t="s">
        <v>1290</v>
      </c>
      <c r="C1262" t="s">
        <v>1291</v>
      </c>
      <c r="D1262" t="str">
        <f>HYPERLINK("https://rhld.insurance.arkansas.gov/NPILookup?Npi=1013170067","1013170067")</f>
        <v>1013170067</v>
      </c>
      <c r="E1262" t="s">
        <v>1292</v>
      </c>
      <c r="F1262" t="s">
        <v>12</v>
      </c>
      <c r="G1262" s="20">
        <v>1</v>
      </c>
      <c r="H1262" t="s">
        <v>4338</v>
      </c>
      <c r="I1262" t="s">
        <v>32</v>
      </c>
      <c r="J1262" s="9"/>
      <c r="K1262" s="9"/>
      <c r="L1262" s="9"/>
    </row>
    <row r="1263" spans="2:12" ht="15" x14ac:dyDescent="0.25">
      <c r="B1263" t="s">
        <v>1290</v>
      </c>
      <c r="C1263" t="s">
        <v>1291</v>
      </c>
      <c r="D1263" t="str">
        <f>HYPERLINK("https://rhld.insurance.arkansas.gov/NPILookup?Npi=1134477037","1134477037")</f>
        <v>1134477037</v>
      </c>
      <c r="E1263" t="s">
        <v>1294</v>
      </c>
      <c r="F1263" t="s">
        <v>13</v>
      </c>
      <c r="G1263" s="20">
        <v>1</v>
      </c>
      <c r="H1263" t="s">
        <v>87</v>
      </c>
      <c r="I1263" t="s">
        <v>4357</v>
      </c>
      <c r="J1263" s="9"/>
      <c r="K1263" s="9"/>
      <c r="L1263" s="9"/>
    </row>
    <row r="1264" spans="2:12" ht="15" x14ac:dyDescent="0.25">
      <c r="B1264" t="s">
        <v>1290</v>
      </c>
      <c r="C1264" t="s">
        <v>1291</v>
      </c>
      <c r="D1264" t="str">
        <f>HYPERLINK("https://rhld.insurance.arkansas.gov/NPILookup?Npi=1346263514","1346263514")</f>
        <v>1346263514</v>
      </c>
      <c r="E1264" t="s">
        <v>1295</v>
      </c>
      <c r="F1264" t="s">
        <v>13</v>
      </c>
      <c r="G1264" s="20">
        <v>1</v>
      </c>
      <c r="H1264" t="s">
        <v>87</v>
      </c>
      <c r="I1264" t="s">
        <v>4357</v>
      </c>
      <c r="J1264" s="9"/>
      <c r="K1264" s="9"/>
      <c r="L1264" s="9"/>
    </row>
    <row r="1265" spans="2:12" ht="15" x14ac:dyDescent="0.25">
      <c r="B1265" t="s">
        <v>1290</v>
      </c>
      <c r="C1265" t="s">
        <v>1291</v>
      </c>
      <c r="D1265" t="str">
        <f>HYPERLINK("https://rhld.insurance.arkansas.gov/NPILookup?Npi=1396108692","1396108692")</f>
        <v>1396108692</v>
      </c>
      <c r="E1265" t="s">
        <v>1296</v>
      </c>
      <c r="F1265" t="s">
        <v>13</v>
      </c>
      <c r="G1265" s="20">
        <v>1</v>
      </c>
      <c r="H1265" t="s">
        <v>87</v>
      </c>
      <c r="I1265" t="s">
        <v>4357</v>
      </c>
      <c r="J1265" s="9"/>
      <c r="K1265" s="9"/>
      <c r="L1265" s="9"/>
    </row>
    <row r="1266" spans="2:12" ht="15" x14ac:dyDescent="0.25">
      <c r="B1266" t="s">
        <v>1290</v>
      </c>
      <c r="C1266" t="s">
        <v>1291</v>
      </c>
      <c r="D1266" t="str">
        <f>HYPERLINK("https://rhld.insurance.arkansas.gov/NPILookup?Npi=1588654370","1588654370")</f>
        <v>1588654370</v>
      </c>
      <c r="E1266" t="s">
        <v>1300</v>
      </c>
      <c r="F1266" t="s">
        <v>13</v>
      </c>
      <c r="G1266" s="20">
        <v>1</v>
      </c>
      <c r="H1266" t="s">
        <v>87</v>
      </c>
      <c r="I1266" t="s">
        <v>4357</v>
      </c>
      <c r="J1266" s="9"/>
      <c r="K1266" s="9"/>
      <c r="L1266" s="9"/>
    </row>
    <row r="1267" spans="2:12" ht="15" x14ac:dyDescent="0.25">
      <c r="B1267" t="s">
        <v>1290</v>
      </c>
      <c r="C1267" t="s">
        <v>1291</v>
      </c>
      <c r="D1267" t="str">
        <f>HYPERLINK("https://rhld.insurance.arkansas.gov/NPILookup?Npi=1497716575","1497716575")</f>
        <v>1497716575</v>
      </c>
      <c r="E1267" t="s">
        <v>1298</v>
      </c>
      <c r="F1267" t="s">
        <v>12</v>
      </c>
      <c r="G1267" s="20">
        <v>1</v>
      </c>
      <c r="H1267" t="s">
        <v>4338</v>
      </c>
      <c r="I1267" t="s">
        <v>4357</v>
      </c>
      <c r="J1267" s="9"/>
      <c r="K1267" s="9"/>
      <c r="L1267" s="9"/>
    </row>
    <row r="1268" spans="2:12" ht="15" x14ac:dyDescent="0.25">
      <c r="B1268" t="s">
        <v>1290</v>
      </c>
      <c r="C1268" t="s">
        <v>1291</v>
      </c>
      <c r="D1268" t="str">
        <f>HYPERLINK("https://rhld.insurance.arkansas.gov/NPILookup?Npi=1518030535","1518030535")</f>
        <v>1518030535</v>
      </c>
      <c r="E1268" t="s">
        <v>1057</v>
      </c>
      <c r="F1268" t="s">
        <v>12</v>
      </c>
      <c r="G1268" s="20">
        <v>1</v>
      </c>
      <c r="H1268" t="s">
        <v>4338</v>
      </c>
      <c r="I1268" t="s">
        <v>32</v>
      </c>
      <c r="J1268" s="9"/>
      <c r="K1268" s="9"/>
      <c r="L1268" s="9"/>
    </row>
    <row r="1269" spans="2:12" ht="15" x14ac:dyDescent="0.25">
      <c r="B1269" t="s">
        <v>1290</v>
      </c>
      <c r="C1269" t="s">
        <v>1291</v>
      </c>
      <c r="D1269" t="str">
        <f>HYPERLINK("https://rhld.insurance.arkansas.gov/NPILookup?Npi=1558758128","1558758128")</f>
        <v>1558758128</v>
      </c>
      <c r="E1269" t="s">
        <v>1299</v>
      </c>
      <c r="F1269" t="s">
        <v>12</v>
      </c>
      <c r="G1269" s="20">
        <v>1</v>
      </c>
      <c r="H1269" t="s">
        <v>4338</v>
      </c>
      <c r="I1269" t="s">
        <v>32</v>
      </c>
      <c r="J1269" s="9"/>
      <c r="K1269" s="9"/>
      <c r="L1269" s="9"/>
    </row>
    <row r="1270" spans="2:12" ht="15" x14ac:dyDescent="0.25">
      <c r="B1270" t="s">
        <v>1290</v>
      </c>
      <c r="C1270" t="s">
        <v>1291</v>
      </c>
      <c r="D1270" t="str">
        <f>HYPERLINK("https://rhld.insurance.arkansas.gov/NPILookup?Npi=1861464893","1861464893")</f>
        <v>1861464893</v>
      </c>
      <c r="E1270" t="s">
        <v>1301</v>
      </c>
      <c r="F1270" t="s">
        <v>13</v>
      </c>
      <c r="G1270" s="20">
        <v>1</v>
      </c>
      <c r="H1270" t="s">
        <v>87</v>
      </c>
      <c r="I1270" t="s">
        <v>4357</v>
      </c>
      <c r="J1270" s="9"/>
      <c r="K1270" s="9"/>
      <c r="L1270" s="9"/>
    </row>
    <row r="1271" spans="2:12" ht="15" x14ac:dyDescent="0.25">
      <c r="B1271" t="s">
        <v>1290</v>
      </c>
      <c r="C1271" t="s">
        <v>1291</v>
      </c>
      <c r="D1271" t="str">
        <f>HYPERLINK("https://rhld.insurance.arkansas.gov/NPILookup?Npi=1770553075","1770553075")</f>
        <v>1770553075</v>
      </c>
      <c r="E1271" t="s">
        <v>1266</v>
      </c>
      <c r="F1271" t="s">
        <v>12</v>
      </c>
      <c r="G1271" s="20">
        <v>1</v>
      </c>
      <c r="H1271" t="s">
        <v>4338</v>
      </c>
      <c r="I1271" t="s">
        <v>32</v>
      </c>
      <c r="J1271" s="9"/>
      <c r="K1271" s="9"/>
      <c r="L1271" s="9"/>
    </row>
    <row r="1272" spans="2:12" ht="15" x14ac:dyDescent="0.25">
      <c r="B1272" t="s">
        <v>1290</v>
      </c>
      <c r="C1272" t="s">
        <v>1291</v>
      </c>
      <c r="D1272" t="str">
        <f>HYPERLINK("https://rhld.insurance.arkansas.gov/NPILookup?Npi=1851644256","1851644256")</f>
        <v>1851644256</v>
      </c>
      <c r="E1272" t="s">
        <v>986</v>
      </c>
      <c r="F1272" t="s">
        <v>12</v>
      </c>
      <c r="G1272" s="20">
        <v>1</v>
      </c>
      <c r="H1272" t="s">
        <v>4338</v>
      </c>
      <c r="I1272" t="s">
        <v>32</v>
      </c>
      <c r="J1272" s="9"/>
      <c r="K1272" s="9"/>
      <c r="L1272" s="9"/>
    </row>
    <row r="1273" spans="2:12" ht="15" x14ac:dyDescent="0.25">
      <c r="B1273" t="s">
        <v>1290</v>
      </c>
      <c r="C1273" t="s">
        <v>1291</v>
      </c>
      <c r="D1273" t="str">
        <f>HYPERLINK("https://rhld.insurance.arkansas.gov/NPILookup?Npi=1871583054","1871583054")</f>
        <v>1871583054</v>
      </c>
      <c r="E1273" t="s">
        <v>1302</v>
      </c>
      <c r="F1273" t="s">
        <v>13</v>
      </c>
      <c r="G1273" s="20">
        <v>1</v>
      </c>
      <c r="H1273" t="s">
        <v>87</v>
      </c>
      <c r="I1273" t="s">
        <v>4357</v>
      </c>
      <c r="J1273" s="9"/>
      <c r="K1273" s="9"/>
      <c r="L1273" s="9"/>
    </row>
    <row r="1274" spans="2:12" ht="15" x14ac:dyDescent="0.25">
      <c r="B1274" t="s">
        <v>1305</v>
      </c>
      <c r="C1274" t="s">
        <v>1306</v>
      </c>
      <c r="D1274" t="str">
        <f>HYPERLINK("https://rhld.insurance.arkansas.gov/NPILookup?Npi=1023441250","1023441250")</f>
        <v>1023441250</v>
      </c>
      <c r="E1274" t="s">
        <v>1307</v>
      </c>
      <c r="F1274" t="s">
        <v>13</v>
      </c>
      <c r="G1274" s="20">
        <v>1</v>
      </c>
      <c r="H1274" t="s">
        <v>4357</v>
      </c>
      <c r="I1274" t="s">
        <v>4357</v>
      </c>
      <c r="J1274" s="9"/>
      <c r="K1274" s="9"/>
      <c r="L1274" s="9"/>
    </row>
    <row r="1275" spans="2:12" ht="15" x14ac:dyDescent="0.25">
      <c r="B1275" t="s">
        <v>1290</v>
      </c>
      <c r="C1275" t="s">
        <v>1291</v>
      </c>
      <c r="D1275" t="str">
        <f>HYPERLINK("https://rhld.insurance.arkansas.gov/NPILookup?Npi=1881128387","1881128387")</f>
        <v>1881128387</v>
      </c>
      <c r="E1275" t="s">
        <v>1303</v>
      </c>
      <c r="F1275" t="s">
        <v>12</v>
      </c>
      <c r="G1275" s="20">
        <v>1</v>
      </c>
      <c r="H1275" t="s">
        <v>4338</v>
      </c>
      <c r="I1275" t="s">
        <v>4357</v>
      </c>
      <c r="J1275" s="9"/>
      <c r="K1275" s="9"/>
      <c r="L1275" s="9"/>
    </row>
    <row r="1276" spans="2:12" ht="15" x14ac:dyDescent="0.25">
      <c r="B1276" t="s">
        <v>1290</v>
      </c>
      <c r="C1276" t="s">
        <v>1291</v>
      </c>
      <c r="D1276" t="str">
        <f>HYPERLINK("https://rhld.insurance.arkansas.gov/NPILookup?Npi=1881943256","1881943256")</f>
        <v>1881943256</v>
      </c>
      <c r="E1276" t="s">
        <v>1275</v>
      </c>
      <c r="F1276" t="s">
        <v>12</v>
      </c>
      <c r="G1276" s="20">
        <v>1</v>
      </c>
      <c r="H1276" t="s">
        <v>4338</v>
      </c>
      <c r="I1276" t="s">
        <v>32</v>
      </c>
      <c r="J1276" s="9"/>
      <c r="K1276" s="9"/>
      <c r="L1276" s="9"/>
    </row>
    <row r="1277" spans="2:12" ht="15" x14ac:dyDescent="0.25">
      <c r="B1277" t="s">
        <v>1290</v>
      </c>
      <c r="C1277" t="s">
        <v>1291</v>
      </c>
      <c r="D1277" t="str">
        <f>HYPERLINK("https://rhld.insurance.arkansas.gov/NPILookup?Npi=1952523482","1952523482")</f>
        <v>1952523482</v>
      </c>
      <c r="E1277" t="s">
        <v>1304</v>
      </c>
      <c r="F1277" t="s">
        <v>12</v>
      </c>
      <c r="G1277" s="20">
        <v>1</v>
      </c>
      <c r="H1277" t="s">
        <v>4338</v>
      </c>
      <c r="I1277" t="s">
        <v>32</v>
      </c>
      <c r="J1277" s="9"/>
      <c r="K1277" s="9"/>
      <c r="L1277" s="9"/>
    </row>
    <row r="1278" spans="2:12" ht="15" x14ac:dyDescent="0.25">
      <c r="B1278" t="s">
        <v>1305</v>
      </c>
      <c r="C1278" t="s">
        <v>1306</v>
      </c>
      <c r="D1278" t="str">
        <f>HYPERLINK("https://rhld.insurance.arkansas.gov/NPILookup?Npi=1043018757","1043018757")</f>
        <v>1043018757</v>
      </c>
      <c r="E1278" t="s">
        <v>1308</v>
      </c>
      <c r="F1278" t="s">
        <v>13</v>
      </c>
      <c r="G1278" s="20">
        <v>1</v>
      </c>
      <c r="H1278" t="s">
        <v>4357</v>
      </c>
      <c r="I1278" t="s">
        <v>4357</v>
      </c>
      <c r="J1278" s="9"/>
      <c r="K1278" s="23"/>
      <c r="L1278" s="9"/>
    </row>
    <row r="1279" spans="2:12" ht="15" x14ac:dyDescent="0.25">
      <c r="B1279" t="s">
        <v>1305</v>
      </c>
      <c r="C1279" t="s">
        <v>1306</v>
      </c>
      <c r="D1279" t="str">
        <f>HYPERLINK("https://rhld.insurance.arkansas.gov/NPILookup?Npi=1063223865","1063223865")</f>
        <v>1063223865</v>
      </c>
      <c r="E1279" t="s">
        <v>1309</v>
      </c>
      <c r="F1279" t="s">
        <v>13</v>
      </c>
      <c r="G1279" s="20">
        <v>1</v>
      </c>
      <c r="H1279" t="s">
        <v>4357</v>
      </c>
      <c r="I1279" t="s">
        <v>4357</v>
      </c>
      <c r="J1279" s="9"/>
      <c r="K1279" s="9"/>
      <c r="L1279" s="9"/>
    </row>
    <row r="1280" spans="2:12" ht="15" x14ac:dyDescent="0.25">
      <c r="B1280" t="s">
        <v>1305</v>
      </c>
      <c r="C1280" t="s">
        <v>1306</v>
      </c>
      <c r="D1280" t="str">
        <f>HYPERLINK("https://rhld.insurance.arkansas.gov/NPILookup?Npi=1063224954","1063224954")</f>
        <v>1063224954</v>
      </c>
      <c r="E1280" t="s">
        <v>1310</v>
      </c>
      <c r="F1280" t="s">
        <v>13</v>
      </c>
      <c r="G1280" s="20">
        <v>1</v>
      </c>
      <c r="H1280" t="s">
        <v>4357</v>
      </c>
      <c r="I1280" t="s">
        <v>4357</v>
      </c>
      <c r="J1280" s="9"/>
      <c r="K1280" s="9"/>
      <c r="L1280" s="9"/>
    </row>
    <row r="1281" spans="2:12" ht="15" x14ac:dyDescent="0.25">
      <c r="B1281" t="s">
        <v>1305</v>
      </c>
      <c r="C1281" t="s">
        <v>1306</v>
      </c>
      <c r="D1281" t="str">
        <f>HYPERLINK("https://rhld.insurance.arkansas.gov/NPILookup?Npi=1083436117","1083436117")</f>
        <v>1083436117</v>
      </c>
      <c r="E1281" t="s">
        <v>1312</v>
      </c>
      <c r="F1281" t="s">
        <v>13</v>
      </c>
      <c r="G1281" s="20">
        <v>1</v>
      </c>
      <c r="H1281" t="s">
        <v>4357</v>
      </c>
      <c r="I1281" t="s">
        <v>4357</v>
      </c>
      <c r="J1281" s="9"/>
      <c r="K1281" s="9"/>
      <c r="L1281" s="9"/>
    </row>
    <row r="1282" spans="2:12" ht="15" x14ac:dyDescent="0.25">
      <c r="B1282" t="s">
        <v>1305</v>
      </c>
      <c r="C1282" s="21" t="s">
        <v>1306</v>
      </c>
      <c r="D1282" s="21" t="str">
        <f>HYPERLINK("https://rhld.insurance.arkansas.gov/NPILookup?Npi=1073522546","1073522546")</f>
        <v>1073522546</v>
      </c>
      <c r="E1282" s="21" t="s">
        <v>1311</v>
      </c>
      <c r="F1282" s="21" t="s">
        <v>12</v>
      </c>
      <c r="G1282" s="22">
        <v>1</v>
      </c>
      <c r="H1282" s="21" t="s">
        <v>4338</v>
      </c>
      <c r="I1282" s="21" t="s">
        <v>32</v>
      </c>
      <c r="J1282" s="9"/>
      <c r="K1282" s="9"/>
      <c r="L1282" s="9"/>
    </row>
    <row r="1283" spans="2:12" ht="15" x14ac:dyDescent="0.25">
      <c r="B1283" t="s">
        <v>1305</v>
      </c>
      <c r="C1283" t="s">
        <v>1306</v>
      </c>
      <c r="D1283" t="str">
        <f>HYPERLINK("https://rhld.insurance.arkansas.gov/NPILookup?Npi=1093537813","1093537813")</f>
        <v>1093537813</v>
      </c>
      <c r="E1283" t="s">
        <v>1313</v>
      </c>
      <c r="F1283" t="s">
        <v>13</v>
      </c>
      <c r="G1283" s="20">
        <v>1</v>
      </c>
      <c r="H1283" t="s">
        <v>4357</v>
      </c>
      <c r="I1283" t="s">
        <v>4357</v>
      </c>
      <c r="J1283" s="9"/>
      <c r="K1283" s="9"/>
      <c r="L1283" s="9"/>
    </row>
    <row r="1284" spans="2:12" ht="15" x14ac:dyDescent="0.25">
      <c r="B1284" t="s">
        <v>1305</v>
      </c>
      <c r="C1284" t="s">
        <v>1306</v>
      </c>
      <c r="D1284" t="str">
        <f>HYPERLINK("https://rhld.insurance.arkansas.gov/NPILookup?Npi=1124836580","1124836580")</f>
        <v>1124836580</v>
      </c>
      <c r="E1284" t="s">
        <v>1314</v>
      </c>
      <c r="F1284" t="s">
        <v>13</v>
      </c>
      <c r="G1284" s="20">
        <v>1</v>
      </c>
      <c r="H1284" t="s">
        <v>4357</v>
      </c>
      <c r="I1284" t="s">
        <v>4357</v>
      </c>
      <c r="J1284" s="9"/>
      <c r="K1284" s="9"/>
      <c r="L1284" s="9"/>
    </row>
    <row r="1285" spans="2:12" ht="15" x14ac:dyDescent="0.25">
      <c r="B1285" t="s">
        <v>1305</v>
      </c>
      <c r="C1285" t="s">
        <v>1306</v>
      </c>
      <c r="D1285" t="str">
        <f>HYPERLINK("https://rhld.insurance.arkansas.gov/NPILookup?Npi=1134479702","1134479702")</f>
        <v>1134479702</v>
      </c>
      <c r="E1285" t="s">
        <v>1315</v>
      </c>
      <c r="F1285" t="s">
        <v>13</v>
      </c>
      <c r="G1285" s="20">
        <v>1</v>
      </c>
      <c r="H1285" t="s">
        <v>4357</v>
      </c>
      <c r="I1285" t="s">
        <v>4357</v>
      </c>
      <c r="J1285" s="9"/>
      <c r="K1285" s="23"/>
      <c r="L1285" s="9"/>
    </row>
    <row r="1286" spans="2:12" ht="15" x14ac:dyDescent="0.25">
      <c r="B1286" t="s">
        <v>1305</v>
      </c>
      <c r="C1286" t="s">
        <v>1306</v>
      </c>
      <c r="D1286" t="str">
        <f>HYPERLINK("https://rhld.insurance.arkansas.gov/NPILookup?Npi=1134942386","1134942386")</f>
        <v>1134942386</v>
      </c>
      <c r="E1286" t="s">
        <v>1316</v>
      </c>
      <c r="F1286" t="s">
        <v>13</v>
      </c>
      <c r="G1286" s="20">
        <v>1</v>
      </c>
      <c r="H1286" t="s">
        <v>4357</v>
      </c>
      <c r="I1286" t="s">
        <v>4357</v>
      </c>
      <c r="J1286" s="9"/>
      <c r="K1286" s="9"/>
      <c r="L1286" s="9"/>
    </row>
    <row r="1287" spans="2:12" ht="15" x14ac:dyDescent="0.25">
      <c r="B1287" t="s">
        <v>1305</v>
      </c>
      <c r="C1287" t="s">
        <v>1306</v>
      </c>
      <c r="D1287" t="str">
        <f>HYPERLINK("https://rhld.insurance.arkansas.gov/NPILookup?Npi=1134993025","1134993025")</f>
        <v>1134993025</v>
      </c>
      <c r="E1287" t="s">
        <v>1317</v>
      </c>
      <c r="F1287" t="s">
        <v>13</v>
      </c>
      <c r="G1287" s="20">
        <v>1</v>
      </c>
      <c r="H1287" t="s">
        <v>4357</v>
      </c>
      <c r="I1287" t="s">
        <v>4357</v>
      </c>
      <c r="J1287" s="9"/>
      <c r="K1287" s="9"/>
      <c r="L1287" s="9"/>
    </row>
    <row r="1288" spans="2:12" ht="15" x14ac:dyDescent="0.25">
      <c r="B1288" t="s">
        <v>1305</v>
      </c>
      <c r="C1288" t="s">
        <v>1306</v>
      </c>
      <c r="D1288" t="str">
        <f>HYPERLINK("https://rhld.insurance.arkansas.gov/NPILookup?Npi=1164100905","1164100905")</f>
        <v>1164100905</v>
      </c>
      <c r="E1288" t="s">
        <v>1319</v>
      </c>
      <c r="F1288" t="s">
        <v>13</v>
      </c>
      <c r="G1288" s="20">
        <v>1</v>
      </c>
      <c r="H1288" t="s">
        <v>4357</v>
      </c>
      <c r="I1288" t="s">
        <v>4357</v>
      </c>
      <c r="J1288" s="9"/>
      <c r="K1288" s="9"/>
      <c r="L1288" s="9"/>
    </row>
    <row r="1289" spans="2:12" ht="15" x14ac:dyDescent="0.25">
      <c r="B1289" t="s">
        <v>1305</v>
      </c>
      <c r="C1289" s="21" t="s">
        <v>1306</v>
      </c>
      <c r="D1289" s="21" t="str">
        <f>HYPERLINK("https://rhld.insurance.arkansas.gov/NPILookup?Npi=1144932922","1144932922")</f>
        <v>1144932922</v>
      </c>
      <c r="E1289" s="21" t="s">
        <v>1318</v>
      </c>
      <c r="F1289" s="21" t="s">
        <v>12</v>
      </c>
      <c r="G1289" s="22">
        <v>1</v>
      </c>
      <c r="H1289" s="21" t="s">
        <v>4338</v>
      </c>
      <c r="I1289" s="21" t="s">
        <v>32</v>
      </c>
      <c r="J1289" s="9"/>
      <c r="K1289" s="9"/>
      <c r="L1289" s="9"/>
    </row>
    <row r="1290" spans="2:12" ht="15" x14ac:dyDescent="0.25">
      <c r="B1290" t="s">
        <v>1305</v>
      </c>
      <c r="C1290" t="s">
        <v>1306</v>
      </c>
      <c r="D1290" t="str">
        <f>HYPERLINK("https://rhld.insurance.arkansas.gov/NPILookup?Npi=1164248183","1164248183")</f>
        <v>1164248183</v>
      </c>
      <c r="E1290" t="s">
        <v>1320</v>
      </c>
      <c r="F1290" t="s">
        <v>13</v>
      </c>
      <c r="G1290" s="20">
        <v>1</v>
      </c>
      <c r="H1290" t="s">
        <v>4357</v>
      </c>
      <c r="I1290" t="s">
        <v>4357</v>
      </c>
      <c r="J1290" s="9"/>
      <c r="K1290" s="9"/>
      <c r="L1290" s="9"/>
    </row>
    <row r="1291" spans="2:12" ht="15" x14ac:dyDescent="0.25">
      <c r="B1291" t="s">
        <v>1305</v>
      </c>
      <c r="C1291" t="s">
        <v>1306</v>
      </c>
      <c r="D1291" t="str">
        <f>HYPERLINK("https://rhld.insurance.arkansas.gov/NPILookup?Npi=1164556296","1164556296")</f>
        <v>1164556296</v>
      </c>
      <c r="E1291" t="s">
        <v>1321</v>
      </c>
      <c r="F1291" t="s">
        <v>13</v>
      </c>
      <c r="G1291" s="20">
        <v>1</v>
      </c>
      <c r="H1291" t="s">
        <v>87</v>
      </c>
      <c r="I1291" t="s">
        <v>4357</v>
      </c>
      <c r="J1291" s="9"/>
      <c r="K1291" s="9"/>
      <c r="L1291" s="9"/>
    </row>
    <row r="1292" spans="2:12" ht="15" x14ac:dyDescent="0.25">
      <c r="B1292" t="s">
        <v>1305</v>
      </c>
      <c r="C1292" t="s">
        <v>1306</v>
      </c>
      <c r="D1292" t="str">
        <f>HYPERLINK("https://rhld.insurance.arkansas.gov/NPILookup?Npi=1164727129","1164727129")</f>
        <v>1164727129</v>
      </c>
      <c r="E1292" t="s">
        <v>1322</v>
      </c>
      <c r="F1292" t="s">
        <v>13</v>
      </c>
      <c r="G1292" s="20">
        <v>1</v>
      </c>
      <c r="H1292" t="s">
        <v>4357</v>
      </c>
      <c r="I1292" t="s">
        <v>4357</v>
      </c>
      <c r="J1292" s="9"/>
      <c r="K1292" s="9"/>
      <c r="L1292" s="9"/>
    </row>
    <row r="1293" spans="2:12" ht="15" x14ac:dyDescent="0.25">
      <c r="B1293" t="s">
        <v>1305</v>
      </c>
      <c r="C1293" t="s">
        <v>1306</v>
      </c>
      <c r="D1293" t="str">
        <f>HYPERLINK("https://rhld.insurance.arkansas.gov/NPILookup?Npi=1184343329","1184343329")</f>
        <v>1184343329</v>
      </c>
      <c r="E1293" t="s">
        <v>1323</v>
      </c>
      <c r="F1293" t="s">
        <v>13</v>
      </c>
      <c r="G1293" s="20">
        <v>1</v>
      </c>
      <c r="H1293" t="s">
        <v>87</v>
      </c>
      <c r="I1293" t="s">
        <v>32</v>
      </c>
      <c r="J1293" s="9"/>
      <c r="K1293" s="9"/>
      <c r="L1293" s="9"/>
    </row>
    <row r="1294" spans="2:12" ht="15" x14ac:dyDescent="0.25">
      <c r="B1294" t="s">
        <v>1305</v>
      </c>
      <c r="C1294" t="s">
        <v>1306</v>
      </c>
      <c r="D1294" t="str">
        <f>HYPERLINK("https://rhld.insurance.arkansas.gov/NPILookup?Npi=1205595949","1205595949")</f>
        <v>1205595949</v>
      </c>
      <c r="E1294" t="s">
        <v>1324</v>
      </c>
      <c r="F1294" t="s">
        <v>13</v>
      </c>
      <c r="G1294" s="20">
        <v>1</v>
      </c>
      <c r="H1294" t="s">
        <v>4357</v>
      </c>
      <c r="I1294" t="s">
        <v>4357</v>
      </c>
      <c r="J1294" s="9"/>
      <c r="K1294" s="9"/>
      <c r="L1294" s="9"/>
    </row>
    <row r="1295" spans="2:12" ht="15" x14ac:dyDescent="0.25">
      <c r="B1295" t="s">
        <v>1305</v>
      </c>
      <c r="C1295" t="s">
        <v>1306</v>
      </c>
      <c r="D1295" t="str">
        <f>HYPERLINK("https://rhld.insurance.arkansas.gov/NPILookup?Npi=1215397484","1215397484")</f>
        <v>1215397484</v>
      </c>
      <c r="E1295" t="s">
        <v>1325</v>
      </c>
      <c r="F1295" t="s">
        <v>13</v>
      </c>
      <c r="G1295" s="20">
        <v>1</v>
      </c>
      <c r="H1295" t="s">
        <v>4357</v>
      </c>
      <c r="I1295" t="s">
        <v>4357</v>
      </c>
      <c r="J1295" s="9"/>
      <c r="K1295" s="23"/>
      <c r="L1295" s="9"/>
    </row>
    <row r="1296" spans="2:12" ht="15" x14ac:dyDescent="0.25">
      <c r="B1296" t="s">
        <v>1305</v>
      </c>
      <c r="C1296" t="s">
        <v>1306</v>
      </c>
      <c r="D1296" t="str">
        <f>HYPERLINK("https://rhld.insurance.arkansas.gov/NPILookup?Npi=1215709647","1215709647")</f>
        <v>1215709647</v>
      </c>
      <c r="E1296" t="s">
        <v>1326</v>
      </c>
      <c r="F1296" t="s">
        <v>13</v>
      </c>
      <c r="G1296" s="20">
        <v>1</v>
      </c>
      <c r="H1296" t="s">
        <v>4357</v>
      </c>
      <c r="I1296" t="s">
        <v>4357</v>
      </c>
      <c r="J1296" s="9"/>
      <c r="K1296" s="23"/>
      <c r="L1296" s="9"/>
    </row>
    <row r="1297" spans="2:12" ht="15" x14ac:dyDescent="0.25">
      <c r="B1297" t="s">
        <v>1305</v>
      </c>
      <c r="C1297" t="s">
        <v>1306</v>
      </c>
      <c r="D1297" t="str">
        <f>HYPERLINK("https://rhld.insurance.arkansas.gov/NPILookup?Npi=1245076736","1245076736")</f>
        <v>1245076736</v>
      </c>
      <c r="E1297" t="s">
        <v>1328</v>
      </c>
      <c r="F1297" t="s">
        <v>13</v>
      </c>
      <c r="G1297" s="20">
        <v>1</v>
      </c>
      <c r="H1297" t="s">
        <v>4357</v>
      </c>
      <c r="I1297" t="s">
        <v>4357</v>
      </c>
      <c r="J1297" s="9"/>
      <c r="K1297" s="9"/>
      <c r="L1297" s="9"/>
    </row>
    <row r="1298" spans="2:12" ht="15" x14ac:dyDescent="0.25">
      <c r="B1298" t="s">
        <v>1305</v>
      </c>
      <c r="C1298" t="s">
        <v>1306</v>
      </c>
      <c r="D1298" t="str">
        <f>HYPERLINK("https://rhld.insurance.arkansas.gov/NPILookup?Npi=1295560522","1295560522")</f>
        <v>1295560522</v>
      </c>
      <c r="E1298" t="s">
        <v>1330</v>
      </c>
      <c r="F1298" t="s">
        <v>13</v>
      </c>
      <c r="G1298" s="20">
        <v>1</v>
      </c>
      <c r="H1298" t="s">
        <v>4357</v>
      </c>
      <c r="I1298" t="s">
        <v>4357</v>
      </c>
      <c r="J1298" s="9"/>
      <c r="K1298" s="9"/>
      <c r="L1298" s="9"/>
    </row>
    <row r="1299" spans="2:12" ht="15" x14ac:dyDescent="0.25">
      <c r="B1299" t="s">
        <v>1305</v>
      </c>
      <c r="C1299" s="21" t="s">
        <v>1306</v>
      </c>
      <c r="D1299" s="21" t="str">
        <f>HYPERLINK("https://rhld.insurance.arkansas.gov/NPILookup?Npi=1255359931","1255359931")</f>
        <v>1255359931</v>
      </c>
      <c r="E1299" s="21" t="s">
        <v>69</v>
      </c>
      <c r="F1299" s="21" t="s">
        <v>12</v>
      </c>
      <c r="G1299" s="22">
        <v>1</v>
      </c>
      <c r="H1299" s="21" t="s">
        <v>4338</v>
      </c>
      <c r="I1299" s="21" t="s">
        <v>32</v>
      </c>
      <c r="J1299" s="9"/>
      <c r="K1299" s="9"/>
      <c r="L1299" s="9"/>
    </row>
    <row r="1300" spans="2:12" ht="15" x14ac:dyDescent="0.25">
      <c r="B1300" t="s">
        <v>1305</v>
      </c>
      <c r="C1300" s="21" t="s">
        <v>1306</v>
      </c>
      <c r="D1300" s="21" t="str">
        <f>HYPERLINK("https://rhld.insurance.arkansas.gov/NPILookup?Npi=1285146142","1285146142")</f>
        <v>1285146142</v>
      </c>
      <c r="E1300" s="21" t="s">
        <v>1329</v>
      </c>
      <c r="F1300" s="21" t="s">
        <v>12</v>
      </c>
      <c r="G1300" s="22">
        <v>1</v>
      </c>
      <c r="H1300" s="21" t="s">
        <v>139</v>
      </c>
      <c r="I1300" s="21" t="s">
        <v>32</v>
      </c>
      <c r="J1300" s="9"/>
      <c r="K1300" s="9"/>
      <c r="L1300" s="9"/>
    </row>
    <row r="1301" spans="2:12" ht="15" x14ac:dyDescent="0.25">
      <c r="B1301" t="s">
        <v>1305</v>
      </c>
      <c r="C1301" t="s">
        <v>1306</v>
      </c>
      <c r="D1301" t="str">
        <f>HYPERLINK("https://rhld.insurance.arkansas.gov/NPILookup?Npi=1295726941","1295726941")</f>
        <v>1295726941</v>
      </c>
      <c r="E1301" t="s">
        <v>1331</v>
      </c>
      <c r="F1301" t="s">
        <v>13</v>
      </c>
      <c r="G1301" s="20">
        <v>1</v>
      </c>
      <c r="H1301" t="s">
        <v>87</v>
      </c>
      <c r="I1301" t="s">
        <v>32</v>
      </c>
      <c r="J1301" s="9"/>
      <c r="K1301" s="9"/>
      <c r="L1301" s="9"/>
    </row>
    <row r="1302" spans="2:12" ht="15" x14ac:dyDescent="0.25">
      <c r="B1302" t="s">
        <v>1305</v>
      </c>
      <c r="C1302" t="s">
        <v>1306</v>
      </c>
      <c r="D1302" t="str">
        <f>HYPERLINK("https://rhld.insurance.arkansas.gov/NPILookup?Npi=1306669809","1306669809")</f>
        <v>1306669809</v>
      </c>
      <c r="E1302" t="s">
        <v>1332</v>
      </c>
      <c r="F1302" t="s">
        <v>13</v>
      </c>
      <c r="G1302" s="20">
        <v>1</v>
      </c>
      <c r="H1302" t="s">
        <v>4357</v>
      </c>
      <c r="I1302" t="s">
        <v>4357</v>
      </c>
      <c r="J1302" s="9"/>
      <c r="K1302" s="9"/>
      <c r="L1302" s="9"/>
    </row>
    <row r="1303" spans="2:12" ht="15" x14ac:dyDescent="0.25">
      <c r="B1303" t="s">
        <v>1305</v>
      </c>
      <c r="C1303" t="s">
        <v>1306</v>
      </c>
      <c r="D1303" t="str">
        <f>HYPERLINK("https://rhld.insurance.arkansas.gov/NPILookup?Npi=1306676036","1306676036")</f>
        <v>1306676036</v>
      </c>
      <c r="E1303" t="s">
        <v>1333</v>
      </c>
      <c r="F1303" t="s">
        <v>13</v>
      </c>
      <c r="G1303" s="20">
        <v>1</v>
      </c>
      <c r="H1303" t="s">
        <v>4357</v>
      </c>
      <c r="I1303" t="s">
        <v>4357</v>
      </c>
      <c r="J1303" s="9"/>
      <c r="K1303" s="9"/>
      <c r="L1303" s="9"/>
    </row>
    <row r="1304" spans="2:12" ht="15" x14ac:dyDescent="0.25">
      <c r="B1304" t="s">
        <v>1305</v>
      </c>
      <c r="C1304" t="s">
        <v>1306</v>
      </c>
      <c r="D1304" t="str">
        <f>HYPERLINK("https://rhld.insurance.arkansas.gov/NPILookup?Npi=1326931957","1326931957")</f>
        <v>1326931957</v>
      </c>
      <c r="E1304" t="s">
        <v>1334</v>
      </c>
      <c r="F1304" t="s">
        <v>13</v>
      </c>
      <c r="G1304" s="20">
        <v>1</v>
      </c>
      <c r="H1304" t="s">
        <v>4357</v>
      </c>
      <c r="I1304" t="s">
        <v>4357</v>
      </c>
      <c r="J1304" s="9"/>
      <c r="K1304" s="23"/>
      <c r="L1304" s="9"/>
    </row>
    <row r="1305" spans="2:12" ht="15" x14ac:dyDescent="0.25">
      <c r="B1305" t="s">
        <v>1305</v>
      </c>
      <c r="C1305" t="s">
        <v>1306</v>
      </c>
      <c r="D1305" t="str">
        <f>HYPERLINK("https://rhld.insurance.arkansas.gov/NPILookup?Npi=1336975580","1336975580")</f>
        <v>1336975580</v>
      </c>
      <c r="E1305" t="s">
        <v>1335</v>
      </c>
      <c r="F1305" t="s">
        <v>13</v>
      </c>
      <c r="G1305" s="20">
        <v>2</v>
      </c>
      <c r="H1305" t="s">
        <v>439</v>
      </c>
      <c r="I1305" t="s">
        <v>4357</v>
      </c>
      <c r="J1305" s="9"/>
      <c r="K1305" s="23"/>
      <c r="L1305" s="9"/>
    </row>
    <row r="1306" spans="2:12" ht="15" x14ac:dyDescent="0.25">
      <c r="B1306" t="s">
        <v>1305</v>
      </c>
      <c r="C1306" t="s">
        <v>1306</v>
      </c>
      <c r="D1306" t="str">
        <f>HYPERLINK("https://rhld.insurance.arkansas.gov/NPILookup?Npi=1356582464","1356582464")</f>
        <v>1356582464</v>
      </c>
      <c r="E1306" t="s">
        <v>1336</v>
      </c>
      <c r="F1306" t="s">
        <v>13</v>
      </c>
      <c r="G1306" s="20">
        <v>1</v>
      </c>
      <c r="H1306" t="s">
        <v>4357</v>
      </c>
      <c r="I1306" t="s">
        <v>4357</v>
      </c>
      <c r="J1306" s="9"/>
      <c r="K1306" s="9"/>
      <c r="L1306" s="9"/>
    </row>
    <row r="1307" spans="2:12" ht="15" x14ac:dyDescent="0.25">
      <c r="B1307" t="s">
        <v>1305</v>
      </c>
      <c r="C1307" t="s">
        <v>1306</v>
      </c>
      <c r="D1307" t="str">
        <f>HYPERLINK("https://rhld.insurance.arkansas.gov/NPILookup?Npi=1376337097","1376337097")</f>
        <v>1376337097</v>
      </c>
      <c r="E1307" t="s">
        <v>1339</v>
      </c>
      <c r="F1307" t="s">
        <v>13</v>
      </c>
      <c r="G1307" s="20">
        <v>1</v>
      </c>
      <c r="H1307" t="s">
        <v>4357</v>
      </c>
      <c r="I1307" t="s">
        <v>4357</v>
      </c>
      <c r="J1307" s="9"/>
      <c r="K1307" s="9"/>
      <c r="L1307" s="9"/>
    </row>
    <row r="1308" spans="2:12" ht="15" x14ac:dyDescent="0.25">
      <c r="B1308" t="s">
        <v>1305</v>
      </c>
      <c r="C1308" s="21" t="s">
        <v>1306</v>
      </c>
      <c r="D1308" s="21" t="str">
        <f>HYPERLINK("https://rhld.insurance.arkansas.gov/NPILookup?Npi=1366471211","1366471211")</f>
        <v>1366471211</v>
      </c>
      <c r="E1308" s="21" t="s">
        <v>1337</v>
      </c>
      <c r="F1308" s="21" t="s">
        <v>12</v>
      </c>
      <c r="G1308" s="22">
        <v>1</v>
      </c>
      <c r="H1308" s="21" t="s">
        <v>4338</v>
      </c>
      <c r="I1308" s="21" t="s">
        <v>32</v>
      </c>
      <c r="J1308" s="9"/>
      <c r="K1308" s="9"/>
      <c r="L1308" s="9"/>
    </row>
    <row r="1309" spans="2:12" ht="15" x14ac:dyDescent="0.25">
      <c r="B1309" t="s">
        <v>1305</v>
      </c>
      <c r="C1309" s="21" t="s">
        <v>1306</v>
      </c>
      <c r="D1309" s="21" t="str">
        <f>HYPERLINK("https://rhld.insurance.arkansas.gov/NPILookup?Npi=1366828063","1366828063")</f>
        <v>1366828063</v>
      </c>
      <c r="E1309" s="21" t="s">
        <v>1338</v>
      </c>
      <c r="F1309" s="21" t="s">
        <v>12</v>
      </c>
      <c r="G1309" s="22">
        <v>1</v>
      </c>
      <c r="H1309" s="21" t="s">
        <v>139</v>
      </c>
      <c r="I1309" s="21" t="s">
        <v>32</v>
      </c>
      <c r="J1309" s="9"/>
      <c r="K1309" s="23"/>
      <c r="L1309" s="9"/>
    </row>
    <row r="1310" spans="2:12" ht="15" x14ac:dyDescent="0.25">
      <c r="B1310" t="s">
        <v>1305</v>
      </c>
      <c r="C1310" t="s">
        <v>1306</v>
      </c>
      <c r="D1310" t="str">
        <f>HYPERLINK("https://rhld.insurance.arkansas.gov/NPILookup?Npi=1386432979","1386432979")</f>
        <v>1386432979</v>
      </c>
      <c r="E1310" t="s">
        <v>1340</v>
      </c>
      <c r="F1310" t="s">
        <v>13</v>
      </c>
      <c r="G1310" s="20">
        <v>1</v>
      </c>
      <c r="H1310" t="s">
        <v>4357</v>
      </c>
      <c r="I1310" t="s">
        <v>4357</v>
      </c>
      <c r="J1310" s="9"/>
      <c r="K1310" s="23"/>
      <c r="L1310" s="9"/>
    </row>
    <row r="1311" spans="2:12" ht="15" x14ac:dyDescent="0.25">
      <c r="B1311" t="s">
        <v>1305</v>
      </c>
      <c r="C1311" t="s">
        <v>1306</v>
      </c>
      <c r="D1311" t="str">
        <f>HYPERLINK("https://rhld.insurance.arkansas.gov/NPILookup?Npi=1396545455","1396545455")</f>
        <v>1396545455</v>
      </c>
      <c r="E1311" t="s">
        <v>1341</v>
      </c>
      <c r="F1311" t="s">
        <v>13</v>
      </c>
      <c r="G1311" s="20">
        <v>1</v>
      </c>
      <c r="H1311" t="s">
        <v>4357</v>
      </c>
      <c r="I1311" t="s">
        <v>4357</v>
      </c>
      <c r="J1311" s="9"/>
      <c r="K1311" s="9"/>
      <c r="L1311" s="9"/>
    </row>
    <row r="1312" spans="2:12" ht="15" x14ac:dyDescent="0.25">
      <c r="B1312" t="s">
        <v>1305</v>
      </c>
      <c r="C1312" t="s">
        <v>1306</v>
      </c>
      <c r="D1312" t="str">
        <f>HYPERLINK("https://rhld.insurance.arkansas.gov/NPILookup?Npi=1427889484","1427889484")</f>
        <v>1427889484</v>
      </c>
      <c r="E1312" t="s">
        <v>1345</v>
      </c>
      <c r="F1312" t="s">
        <v>13</v>
      </c>
      <c r="G1312" s="20">
        <v>1</v>
      </c>
      <c r="H1312" t="s">
        <v>4357</v>
      </c>
      <c r="I1312" t="s">
        <v>4357</v>
      </c>
      <c r="J1312" s="9"/>
      <c r="K1312" s="9"/>
      <c r="L1312" s="9"/>
    </row>
    <row r="1313" spans="2:12" ht="15" x14ac:dyDescent="0.25">
      <c r="B1313" t="s">
        <v>1305</v>
      </c>
      <c r="C1313" s="21" t="s">
        <v>1306</v>
      </c>
      <c r="D1313" s="21" t="str">
        <f>HYPERLINK("https://rhld.insurance.arkansas.gov/NPILookup?Npi=1396701488","1396701488")</f>
        <v>1396701488</v>
      </c>
      <c r="E1313" s="21" t="s">
        <v>1342</v>
      </c>
      <c r="F1313" s="21" t="s">
        <v>12</v>
      </c>
      <c r="G1313" s="22">
        <v>1</v>
      </c>
      <c r="H1313" s="21" t="s">
        <v>4338</v>
      </c>
      <c r="I1313" s="21" t="s">
        <v>32</v>
      </c>
      <c r="J1313" s="9"/>
      <c r="K1313" s="9"/>
      <c r="L1313" s="9"/>
    </row>
    <row r="1314" spans="2:12" ht="15" x14ac:dyDescent="0.25">
      <c r="B1314" t="s">
        <v>1305</v>
      </c>
      <c r="C1314" s="21" t="s">
        <v>1306</v>
      </c>
      <c r="D1314" s="21" t="str">
        <f>HYPERLINK("https://rhld.insurance.arkansas.gov/NPILookup?Npi=1417094657","1417094657")</f>
        <v>1417094657</v>
      </c>
      <c r="E1314" s="21" t="s">
        <v>1343</v>
      </c>
      <c r="F1314" s="21" t="s">
        <v>12</v>
      </c>
      <c r="G1314" s="22">
        <v>1</v>
      </c>
      <c r="H1314" s="21" t="s">
        <v>4338</v>
      </c>
      <c r="I1314" s="21" t="s">
        <v>32</v>
      </c>
      <c r="J1314" s="9"/>
      <c r="K1314" s="23"/>
      <c r="L1314" s="9"/>
    </row>
    <row r="1315" spans="2:12" ht="15" x14ac:dyDescent="0.25">
      <c r="B1315" t="s">
        <v>1305</v>
      </c>
      <c r="C1315" t="s">
        <v>1306</v>
      </c>
      <c r="D1315" t="str">
        <f>HYPERLINK("https://rhld.insurance.arkansas.gov/NPILookup?Npi=1447072053","1447072053")</f>
        <v>1447072053</v>
      </c>
      <c r="E1315" t="s">
        <v>1346</v>
      </c>
      <c r="F1315" t="s">
        <v>13</v>
      </c>
      <c r="G1315" s="20">
        <v>1</v>
      </c>
      <c r="H1315" t="s">
        <v>4357</v>
      </c>
      <c r="I1315" t="s">
        <v>4357</v>
      </c>
      <c r="J1315" s="9"/>
      <c r="K1315" s="9"/>
      <c r="L1315" s="9"/>
    </row>
    <row r="1316" spans="2:12" ht="15" x14ac:dyDescent="0.25">
      <c r="B1316" t="s">
        <v>1305</v>
      </c>
      <c r="C1316" t="s">
        <v>1306</v>
      </c>
      <c r="D1316" t="str">
        <f>HYPERLINK("https://rhld.insurance.arkansas.gov/NPILookup?Npi=1477352599","1477352599")</f>
        <v>1477352599</v>
      </c>
      <c r="E1316" t="s">
        <v>1347</v>
      </c>
      <c r="F1316" t="s">
        <v>13</v>
      </c>
      <c r="G1316" s="20">
        <v>1</v>
      </c>
      <c r="H1316" t="s">
        <v>4357</v>
      </c>
      <c r="I1316" t="s">
        <v>4357</v>
      </c>
      <c r="J1316" s="9"/>
      <c r="K1316" s="9"/>
      <c r="L1316" s="9"/>
    </row>
    <row r="1317" spans="2:12" ht="15" x14ac:dyDescent="0.25">
      <c r="B1317" t="s">
        <v>1305</v>
      </c>
      <c r="C1317" t="s">
        <v>1306</v>
      </c>
      <c r="D1317" t="str">
        <f>HYPERLINK("https://rhld.insurance.arkansas.gov/NPILookup?Npi=1518479070","1518479070")</f>
        <v>1518479070</v>
      </c>
      <c r="E1317" t="s">
        <v>1349</v>
      </c>
      <c r="F1317" t="s">
        <v>13</v>
      </c>
      <c r="G1317" s="20">
        <v>1</v>
      </c>
      <c r="H1317" t="s">
        <v>87</v>
      </c>
      <c r="I1317" t="s">
        <v>32</v>
      </c>
      <c r="J1317" s="9"/>
      <c r="K1317" s="9"/>
      <c r="L1317" s="9"/>
    </row>
    <row r="1318" spans="2:12" ht="15" x14ac:dyDescent="0.25">
      <c r="B1318" t="s">
        <v>1305</v>
      </c>
      <c r="C1318" s="21" t="s">
        <v>1306</v>
      </c>
      <c r="D1318" s="21" t="str">
        <f>HYPERLINK("https://rhld.insurance.arkansas.gov/NPILookup?Npi=1497964894","1497964894")</f>
        <v>1497964894</v>
      </c>
      <c r="E1318" s="21" t="s">
        <v>1348</v>
      </c>
      <c r="F1318" s="21" t="s">
        <v>12</v>
      </c>
      <c r="G1318" s="22">
        <v>1</v>
      </c>
      <c r="H1318" s="21" t="s">
        <v>139</v>
      </c>
      <c r="I1318" s="21" t="s">
        <v>32</v>
      </c>
      <c r="J1318" s="9"/>
      <c r="K1318" s="9"/>
      <c r="L1318" s="9"/>
    </row>
    <row r="1319" spans="2:12" ht="15" x14ac:dyDescent="0.25">
      <c r="B1319" t="s">
        <v>1305</v>
      </c>
      <c r="C1319" t="s">
        <v>1306</v>
      </c>
      <c r="D1319" t="str">
        <f>HYPERLINK("https://rhld.insurance.arkansas.gov/NPILookup?Npi=1528192192","1528192192")</f>
        <v>1528192192</v>
      </c>
      <c r="E1319" t="s">
        <v>1350</v>
      </c>
      <c r="F1319" t="s">
        <v>13</v>
      </c>
      <c r="G1319" s="20">
        <v>1</v>
      </c>
      <c r="H1319" t="s">
        <v>87</v>
      </c>
      <c r="I1319" t="s">
        <v>32</v>
      </c>
      <c r="J1319" s="9"/>
      <c r="K1319" s="9"/>
      <c r="L1319" s="9"/>
    </row>
    <row r="1320" spans="2:12" ht="15" x14ac:dyDescent="0.25">
      <c r="B1320" t="s">
        <v>1305</v>
      </c>
      <c r="C1320" t="s">
        <v>1306</v>
      </c>
      <c r="D1320" t="str">
        <f>HYPERLINK("https://rhld.insurance.arkansas.gov/NPILookup?Npi=1528599586","1528599586")</f>
        <v>1528599586</v>
      </c>
      <c r="E1320" t="s">
        <v>1351</v>
      </c>
      <c r="F1320" t="s">
        <v>13</v>
      </c>
      <c r="G1320" s="20">
        <v>1</v>
      </c>
      <c r="H1320" t="s">
        <v>4357</v>
      </c>
      <c r="I1320" t="s">
        <v>4357</v>
      </c>
      <c r="J1320" s="9"/>
      <c r="K1320" s="9"/>
      <c r="L1320" s="9"/>
    </row>
    <row r="1321" spans="2:12" ht="15" x14ac:dyDescent="0.25">
      <c r="B1321" t="s">
        <v>1305</v>
      </c>
      <c r="C1321" t="s">
        <v>1306</v>
      </c>
      <c r="D1321" t="str">
        <f>HYPERLINK("https://rhld.insurance.arkansas.gov/NPILookup?Npi=1528869112","1528869112")</f>
        <v>1528869112</v>
      </c>
      <c r="E1321" t="s">
        <v>1352</v>
      </c>
      <c r="F1321" t="s">
        <v>13</v>
      </c>
      <c r="G1321" s="20">
        <v>1</v>
      </c>
      <c r="H1321" t="s">
        <v>4357</v>
      </c>
      <c r="I1321" t="s">
        <v>4357</v>
      </c>
      <c r="J1321" s="9"/>
      <c r="K1321" s="9"/>
      <c r="L1321" s="9"/>
    </row>
    <row r="1322" spans="2:12" ht="15" x14ac:dyDescent="0.25">
      <c r="B1322" t="s">
        <v>1305</v>
      </c>
      <c r="C1322" t="s">
        <v>1306</v>
      </c>
      <c r="D1322" t="str">
        <f>HYPERLINK("https://rhld.insurance.arkansas.gov/NPILookup?Npi=1558168658","1558168658")</f>
        <v>1558168658</v>
      </c>
      <c r="E1322" t="s">
        <v>1353</v>
      </c>
      <c r="F1322" t="s">
        <v>13</v>
      </c>
      <c r="G1322" s="20">
        <v>1</v>
      </c>
      <c r="H1322" t="s">
        <v>4357</v>
      </c>
      <c r="I1322" t="s">
        <v>4357</v>
      </c>
      <c r="J1322" s="9"/>
      <c r="K1322" s="9"/>
      <c r="L1322" s="9"/>
    </row>
    <row r="1323" spans="2:12" ht="15" x14ac:dyDescent="0.25">
      <c r="B1323" t="s">
        <v>1305</v>
      </c>
      <c r="C1323" t="s">
        <v>1306</v>
      </c>
      <c r="D1323" t="str">
        <f>HYPERLINK("https://rhld.insurance.arkansas.gov/NPILookup?Npi=1578305991","1578305991")</f>
        <v>1578305991</v>
      </c>
      <c r="E1323" t="s">
        <v>1354</v>
      </c>
      <c r="F1323" t="s">
        <v>13</v>
      </c>
      <c r="G1323" s="20">
        <v>1</v>
      </c>
      <c r="H1323" t="s">
        <v>4357</v>
      </c>
      <c r="I1323" t="s">
        <v>4357</v>
      </c>
      <c r="J1323" s="9"/>
      <c r="K1323" s="9"/>
      <c r="L1323" s="9"/>
    </row>
    <row r="1324" spans="2:12" ht="15" x14ac:dyDescent="0.25">
      <c r="B1324" t="s">
        <v>1305</v>
      </c>
      <c r="C1324" t="s">
        <v>1306</v>
      </c>
      <c r="D1324" t="str">
        <f>HYPERLINK("https://rhld.insurance.arkansas.gov/NPILookup?Npi=1598565947","1598565947")</f>
        <v>1598565947</v>
      </c>
      <c r="E1324" t="s">
        <v>1355</v>
      </c>
      <c r="F1324" t="s">
        <v>13</v>
      </c>
      <c r="G1324" s="20">
        <v>1</v>
      </c>
      <c r="H1324" t="s">
        <v>4357</v>
      </c>
      <c r="I1324" t="s">
        <v>4357</v>
      </c>
      <c r="J1324" s="9"/>
      <c r="K1324" s="9"/>
      <c r="L1324" s="9"/>
    </row>
    <row r="1325" spans="2:12" ht="15" x14ac:dyDescent="0.25">
      <c r="B1325" t="s">
        <v>1305</v>
      </c>
      <c r="C1325" t="s">
        <v>1306</v>
      </c>
      <c r="D1325" t="str">
        <f>HYPERLINK("https://rhld.insurance.arkansas.gov/NPILookup?Npi=1619779808","1619779808")</f>
        <v>1619779808</v>
      </c>
      <c r="E1325" t="s">
        <v>1356</v>
      </c>
      <c r="F1325" t="s">
        <v>13</v>
      </c>
      <c r="G1325" s="20">
        <v>1</v>
      </c>
      <c r="H1325" t="s">
        <v>4357</v>
      </c>
      <c r="I1325" t="s">
        <v>4357</v>
      </c>
      <c r="J1325" s="9"/>
      <c r="K1325" s="9"/>
      <c r="L1325" s="9"/>
    </row>
    <row r="1326" spans="2:12" ht="15" x14ac:dyDescent="0.25">
      <c r="B1326" t="s">
        <v>1305</v>
      </c>
      <c r="C1326" t="s">
        <v>1306</v>
      </c>
      <c r="D1326" t="str">
        <f>HYPERLINK("https://rhld.insurance.arkansas.gov/NPILookup?Npi=1629896998","1629896998")</f>
        <v>1629896998</v>
      </c>
      <c r="E1326" t="s">
        <v>1357</v>
      </c>
      <c r="F1326" t="s">
        <v>13</v>
      </c>
      <c r="G1326" s="20">
        <v>2</v>
      </c>
      <c r="H1326" t="s">
        <v>439</v>
      </c>
      <c r="I1326" t="s">
        <v>4357</v>
      </c>
      <c r="J1326" s="9"/>
      <c r="K1326" s="23"/>
      <c r="L1326" s="9"/>
    </row>
    <row r="1327" spans="2:12" ht="15" x14ac:dyDescent="0.25">
      <c r="B1327" t="s">
        <v>1305</v>
      </c>
      <c r="C1327" t="s">
        <v>1306</v>
      </c>
      <c r="D1327" t="str">
        <f>HYPERLINK("https://rhld.insurance.arkansas.gov/NPILookup?Npi=1669924155","1669924155")</f>
        <v>1669924155</v>
      </c>
      <c r="E1327" t="s">
        <v>1359</v>
      </c>
      <c r="F1327" t="s">
        <v>13</v>
      </c>
      <c r="G1327" s="20">
        <v>1</v>
      </c>
      <c r="H1327" t="s">
        <v>4357</v>
      </c>
      <c r="I1327" t="s">
        <v>4357</v>
      </c>
      <c r="J1327" s="9"/>
      <c r="K1327" s="23"/>
      <c r="L1327" s="9"/>
    </row>
    <row r="1328" spans="2:12" ht="15" x14ac:dyDescent="0.25">
      <c r="B1328" t="s">
        <v>1305</v>
      </c>
      <c r="C1328" t="s">
        <v>1306</v>
      </c>
      <c r="D1328" t="str">
        <f>HYPERLINK("https://rhld.insurance.arkansas.gov/NPILookup?Npi=1700297397","1700297397")</f>
        <v>1700297397</v>
      </c>
      <c r="E1328" t="s">
        <v>1361</v>
      </c>
      <c r="F1328" t="s">
        <v>13</v>
      </c>
      <c r="G1328" s="20">
        <v>1</v>
      </c>
      <c r="H1328" t="s">
        <v>4357</v>
      </c>
      <c r="I1328" t="s">
        <v>4357</v>
      </c>
      <c r="J1328" s="9"/>
      <c r="K1328" s="9"/>
      <c r="L1328" s="9"/>
    </row>
    <row r="1329" spans="2:12" ht="15" x14ac:dyDescent="0.25">
      <c r="B1329" t="s">
        <v>1305</v>
      </c>
      <c r="C1329" t="s">
        <v>1306</v>
      </c>
      <c r="D1329" t="str">
        <f>HYPERLINK("https://rhld.insurance.arkansas.gov/NPILookup?Npi=1760083125","1760083125")</f>
        <v>1760083125</v>
      </c>
      <c r="E1329" t="s">
        <v>1364</v>
      </c>
      <c r="F1329" t="s">
        <v>13</v>
      </c>
      <c r="G1329" s="20">
        <v>1</v>
      </c>
      <c r="H1329" t="s">
        <v>87</v>
      </c>
      <c r="I1329" t="s">
        <v>32</v>
      </c>
      <c r="J1329" s="9"/>
      <c r="K1329" s="9"/>
      <c r="L1329" s="9"/>
    </row>
    <row r="1330" spans="2:12" ht="15" x14ac:dyDescent="0.25">
      <c r="B1330" t="s">
        <v>1305</v>
      </c>
      <c r="C1330" s="21" t="s">
        <v>1306</v>
      </c>
      <c r="D1330" s="21" t="str">
        <f>HYPERLINK("https://rhld.insurance.arkansas.gov/NPILookup?Npi=1740327808","1740327808")</f>
        <v>1740327808</v>
      </c>
      <c r="E1330" s="21" t="s">
        <v>1362</v>
      </c>
      <c r="F1330" s="21" t="s">
        <v>12</v>
      </c>
      <c r="G1330" s="22">
        <v>1</v>
      </c>
      <c r="H1330" s="21" t="s">
        <v>4338</v>
      </c>
      <c r="I1330" s="21" t="s">
        <v>32</v>
      </c>
      <c r="J1330" s="9"/>
      <c r="K1330" s="9"/>
      <c r="L1330" s="9"/>
    </row>
    <row r="1331" spans="2:12" ht="15" x14ac:dyDescent="0.25">
      <c r="B1331" t="s">
        <v>1305</v>
      </c>
      <c r="C1331" s="21" t="s">
        <v>1306</v>
      </c>
      <c r="D1331" s="21" t="str">
        <f>HYPERLINK("https://rhld.insurance.arkansas.gov/NPILookup?Npi=1740408954","1740408954")</f>
        <v>1740408954</v>
      </c>
      <c r="E1331" s="21" t="s">
        <v>1363</v>
      </c>
      <c r="F1331" s="21" t="s">
        <v>12</v>
      </c>
      <c r="G1331" s="22">
        <v>1</v>
      </c>
      <c r="H1331" s="21" t="s">
        <v>4338</v>
      </c>
      <c r="I1331" s="21" t="s">
        <v>32</v>
      </c>
      <c r="J1331" s="9"/>
      <c r="K1331" s="9"/>
      <c r="L1331" s="9"/>
    </row>
    <row r="1332" spans="2:12" ht="15" x14ac:dyDescent="0.25">
      <c r="B1332" t="s">
        <v>1305</v>
      </c>
      <c r="C1332" t="s">
        <v>1306</v>
      </c>
      <c r="D1332" t="str">
        <f>HYPERLINK("https://rhld.insurance.arkansas.gov/NPILookup?Npi=1760165898","1760165898")</f>
        <v>1760165898</v>
      </c>
      <c r="E1332" t="s">
        <v>1365</v>
      </c>
      <c r="F1332" t="s">
        <v>13</v>
      </c>
      <c r="G1332" s="20">
        <v>1</v>
      </c>
      <c r="H1332" t="s">
        <v>4357</v>
      </c>
      <c r="I1332" t="s">
        <v>4357</v>
      </c>
      <c r="J1332" s="9"/>
      <c r="K1332" s="9"/>
      <c r="L1332" s="9"/>
    </row>
    <row r="1333" spans="2:12" ht="15" x14ac:dyDescent="0.25">
      <c r="B1333" t="s">
        <v>1305</v>
      </c>
      <c r="C1333" t="s">
        <v>1306</v>
      </c>
      <c r="D1333" t="str">
        <f>HYPERLINK("https://rhld.insurance.arkansas.gov/NPILookup?Npi=1760169601","1760169601")</f>
        <v>1760169601</v>
      </c>
      <c r="E1333" t="s">
        <v>1366</v>
      </c>
      <c r="F1333" t="s">
        <v>13</v>
      </c>
      <c r="G1333" s="20">
        <v>1</v>
      </c>
      <c r="H1333" t="s">
        <v>4357</v>
      </c>
      <c r="I1333" t="s">
        <v>4357</v>
      </c>
      <c r="J1333" s="9"/>
      <c r="K1333" s="9"/>
      <c r="L1333" s="9"/>
    </row>
    <row r="1334" spans="2:12" ht="15" x14ac:dyDescent="0.25">
      <c r="B1334" t="s">
        <v>1305</v>
      </c>
      <c r="C1334" t="s">
        <v>1306</v>
      </c>
      <c r="D1334" t="str">
        <f>HYPERLINK("https://rhld.insurance.arkansas.gov/NPILookup?Npi=1790077527","1790077527")</f>
        <v>1790077527</v>
      </c>
      <c r="E1334" t="s">
        <v>1367</v>
      </c>
      <c r="F1334" t="s">
        <v>13</v>
      </c>
      <c r="G1334" s="20">
        <v>1</v>
      </c>
      <c r="H1334" t="s">
        <v>87</v>
      </c>
      <c r="I1334" t="s">
        <v>32</v>
      </c>
      <c r="J1334" s="9"/>
      <c r="K1334" s="9"/>
      <c r="L1334" s="9"/>
    </row>
    <row r="1335" spans="2:12" ht="15" x14ac:dyDescent="0.25">
      <c r="B1335" t="s">
        <v>1305</v>
      </c>
      <c r="C1335" t="s">
        <v>1306</v>
      </c>
      <c r="D1335" t="str">
        <f>HYPERLINK("https://rhld.insurance.arkansas.gov/NPILookup?Npi=1821883372","1821883372")</f>
        <v>1821883372</v>
      </c>
      <c r="E1335" t="s">
        <v>1368</v>
      </c>
      <c r="F1335" t="s">
        <v>13</v>
      </c>
      <c r="G1335" s="20">
        <v>1</v>
      </c>
      <c r="H1335" t="s">
        <v>4357</v>
      </c>
      <c r="I1335" t="s">
        <v>4357</v>
      </c>
      <c r="J1335" s="9"/>
      <c r="K1335" s="9"/>
      <c r="L1335" s="9"/>
    </row>
    <row r="1336" spans="2:12" ht="15" x14ac:dyDescent="0.25">
      <c r="B1336" t="s">
        <v>1305</v>
      </c>
      <c r="C1336" t="s">
        <v>1306</v>
      </c>
      <c r="D1336" t="str">
        <f>HYPERLINK("https://rhld.insurance.arkansas.gov/NPILookup?Npi=1841009677","1841009677")</f>
        <v>1841009677</v>
      </c>
      <c r="E1336" t="s">
        <v>1369</v>
      </c>
      <c r="F1336" t="s">
        <v>13</v>
      </c>
      <c r="G1336" s="20">
        <v>1</v>
      </c>
      <c r="H1336" t="s">
        <v>4357</v>
      </c>
      <c r="I1336" t="s">
        <v>4357</v>
      </c>
      <c r="J1336" s="9"/>
      <c r="K1336" s="9"/>
      <c r="L1336" s="9"/>
    </row>
    <row r="1337" spans="2:12" ht="15" x14ac:dyDescent="0.25">
      <c r="B1337" t="s">
        <v>1305</v>
      </c>
      <c r="C1337" t="s">
        <v>1306</v>
      </c>
      <c r="D1337" t="str">
        <f>HYPERLINK("https://rhld.insurance.arkansas.gov/NPILookup?Npi=1841096435","1841096435")</f>
        <v>1841096435</v>
      </c>
      <c r="E1337" t="s">
        <v>1370</v>
      </c>
      <c r="F1337" t="s">
        <v>13</v>
      </c>
      <c r="G1337" s="20">
        <v>1</v>
      </c>
      <c r="H1337" t="s">
        <v>4357</v>
      </c>
      <c r="I1337" t="s">
        <v>4357</v>
      </c>
      <c r="J1337" s="9"/>
      <c r="K1337" s="9"/>
      <c r="L1337" s="9"/>
    </row>
    <row r="1338" spans="2:12" ht="15" x14ac:dyDescent="0.25">
      <c r="B1338" t="s">
        <v>1305</v>
      </c>
      <c r="C1338" t="s">
        <v>1306</v>
      </c>
      <c r="D1338" t="str">
        <f>HYPERLINK("https://rhld.insurance.arkansas.gov/NPILookup?Npi=1851110597","1851110597")</f>
        <v>1851110597</v>
      </c>
      <c r="E1338" t="s">
        <v>1371</v>
      </c>
      <c r="F1338" t="s">
        <v>13</v>
      </c>
      <c r="G1338" s="20">
        <v>1</v>
      </c>
      <c r="H1338" t="s">
        <v>4357</v>
      </c>
      <c r="I1338" t="s">
        <v>4357</v>
      </c>
      <c r="J1338" s="9"/>
      <c r="K1338" s="9"/>
      <c r="L1338" s="9"/>
    </row>
    <row r="1339" spans="2:12" ht="15" x14ac:dyDescent="0.25">
      <c r="B1339" t="s">
        <v>1305</v>
      </c>
      <c r="C1339" t="s">
        <v>1306</v>
      </c>
      <c r="D1339" t="str">
        <f>HYPERLINK("https://rhld.insurance.arkansas.gov/NPILookup?Npi=1861919664","1861919664")</f>
        <v>1861919664</v>
      </c>
      <c r="E1339" t="s">
        <v>1372</v>
      </c>
      <c r="F1339" t="s">
        <v>13</v>
      </c>
      <c r="G1339" s="20">
        <v>1</v>
      </c>
      <c r="H1339" t="s">
        <v>87</v>
      </c>
      <c r="I1339" t="s">
        <v>4357</v>
      </c>
      <c r="J1339" s="9"/>
      <c r="K1339" s="9"/>
      <c r="L1339" s="9"/>
    </row>
    <row r="1340" spans="2:12" ht="15" x14ac:dyDescent="0.25">
      <c r="B1340" t="s">
        <v>1305</v>
      </c>
      <c r="C1340" t="s">
        <v>1306</v>
      </c>
      <c r="D1340" t="str">
        <f>HYPERLINK("https://rhld.insurance.arkansas.gov/NPILookup?Npi=1871821355","1871821355")</f>
        <v>1871821355</v>
      </c>
      <c r="E1340" t="s">
        <v>1373</v>
      </c>
      <c r="F1340" t="s">
        <v>13</v>
      </c>
      <c r="G1340" s="20">
        <v>1</v>
      </c>
      <c r="H1340" t="s">
        <v>4357</v>
      </c>
      <c r="I1340" t="s">
        <v>4357</v>
      </c>
      <c r="J1340" s="9"/>
      <c r="K1340" s="9"/>
      <c r="L1340" s="9"/>
    </row>
    <row r="1341" spans="2:12" ht="15" x14ac:dyDescent="0.25">
      <c r="B1341" t="s">
        <v>1305</v>
      </c>
      <c r="C1341" t="s">
        <v>1306</v>
      </c>
      <c r="D1341" t="str">
        <f>HYPERLINK("https://rhld.insurance.arkansas.gov/NPILookup?Npi=1881418903","1881418903")</f>
        <v>1881418903</v>
      </c>
      <c r="E1341" t="s">
        <v>1374</v>
      </c>
      <c r="F1341" t="s">
        <v>13</v>
      </c>
      <c r="G1341" s="20">
        <v>1</v>
      </c>
      <c r="H1341" t="s">
        <v>4357</v>
      </c>
      <c r="I1341" t="s">
        <v>4357</v>
      </c>
      <c r="J1341" s="9"/>
      <c r="K1341" s="9"/>
      <c r="L1341" s="9"/>
    </row>
    <row r="1342" spans="2:12" ht="15" x14ac:dyDescent="0.25">
      <c r="B1342" t="s">
        <v>1305</v>
      </c>
      <c r="C1342" t="s">
        <v>1306</v>
      </c>
      <c r="D1342" t="str">
        <f>HYPERLINK("https://rhld.insurance.arkansas.gov/NPILookup?Npi=1902064827","1902064827")</f>
        <v>1902064827</v>
      </c>
      <c r="E1342" t="s">
        <v>1375</v>
      </c>
      <c r="F1342" t="s">
        <v>13</v>
      </c>
      <c r="G1342" s="20">
        <v>1</v>
      </c>
      <c r="H1342" t="s">
        <v>4357</v>
      </c>
      <c r="I1342" t="s">
        <v>4357</v>
      </c>
      <c r="J1342" s="9"/>
      <c r="K1342" s="9"/>
      <c r="L1342" s="9"/>
    </row>
    <row r="1343" spans="2:12" ht="15" x14ac:dyDescent="0.25">
      <c r="B1343" t="s">
        <v>1305</v>
      </c>
      <c r="C1343" t="s">
        <v>1306</v>
      </c>
      <c r="D1343" t="str">
        <f>HYPERLINK("https://rhld.insurance.arkansas.gov/NPILookup?Npi=1902317258","1902317258")</f>
        <v>1902317258</v>
      </c>
      <c r="E1343" t="s">
        <v>1376</v>
      </c>
      <c r="F1343" t="s">
        <v>13</v>
      </c>
      <c r="G1343" s="20">
        <v>1</v>
      </c>
      <c r="H1343" t="s">
        <v>4357</v>
      </c>
      <c r="I1343" t="s">
        <v>4357</v>
      </c>
      <c r="J1343" s="9"/>
      <c r="K1343" s="9"/>
      <c r="L1343" s="9"/>
    </row>
    <row r="1344" spans="2:12" ht="15" x14ac:dyDescent="0.25">
      <c r="B1344" t="s">
        <v>1305</v>
      </c>
      <c r="C1344" t="s">
        <v>1306</v>
      </c>
      <c r="D1344" t="str">
        <f>HYPERLINK("https://rhld.insurance.arkansas.gov/NPILookup?Npi=1902628720","1902628720")</f>
        <v>1902628720</v>
      </c>
      <c r="E1344" t="s">
        <v>1377</v>
      </c>
      <c r="F1344" t="s">
        <v>13</v>
      </c>
      <c r="G1344" s="20">
        <v>1</v>
      </c>
      <c r="H1344" t="s">
        <v>4357</v>
      </c>
      <c r="I1344" t="s">
        <v>4357</v>
      </c>
      <c r="J1344" s="9"/>
      <c r="K1344" s="9"/>
      <c r="L1344" s="9"/>
    </row>
    <row r="1345" spans="2:12" ht="15" x14ac:dyDescent="0.25">
      <c r="B1345" t="s">
        <v>1305</v>
      </c>
      <c r="C1345" t="s">
        <v>1306</v>
      </c>
      <c r="D1345" t="str">
        <f>HYPERLINK("https://rhld.insurance.arkansas.gov/NPILookup?Npi=1912513334","1912513334")</f>
        <v>1912513334</v>
      </c>
      <c r="E1345" t="s">
        <v>1378</v>
      </c>
      <c r="F1345" t="s">
        <v>13</v>
      </c>
      <c r="G1345" s="20">
        <v>1</v>
      </c>
      <c r="H1345" t="s">
        <v>4357</v>
      </c>
      <c r="I1345" t="s">
        <v>4357</v>
      </c>
      <c r="J1345" s="9"/>
      <c r="K1345" s="23"/>
      <c r="L1345" s="9"/>
    </row>
    <row r="1346" spans="2:12" ht="15" x14ac:dyDescent="0.25">
      <c r="B1346" t="s">
        <v>1305</v>
      </c>
      <c r="C1346" t="s">
        <v>1306</v>
      </c>
      <c r="D1346" t="str">
        <f>HYPERLINK("https://rhld.insurance.arkansas.gov/NPILookup?Npi=1942433149","1942433149")</f>
        <v>1942433149</v>
      </c>
      <c r="E1346" t="s">
        <v>1379</v>
      </c>
      <c r="F1346" t="s">
        <v>13</v>
      </c>
      <c r="G1346" s="20">
        <v>1</v>
      </c>
      <c r="H1346" t="s">
        <v>87</v>
      </c>
      <c r="I1346" t="s">
        <v>4357</v>
      </c>
      <c r="J1346" s="9"/>
      <c r="K1346" s="9"/>
      <c r="L1346" s="9"/>
    </row>
    <row r="1347" spans="2:12" ht="15" x14ac:dyDescent="0.25">
      <c r="B1347" t="s">
        <v>1305</v>
      </c>
      <c r="C1347" t="s">
        <v>1306</v>
      </c>
      <c r="D1347" t="str">
        <f>HYPERLINK("https://rhld.insurance.arkansas.gov/NPILookup?Npi=1942991161","1942991161")</f>
        <v>1942991161</v>
      </c>
      <c r="E1347" t="s">
        <v>1380</v>
      </c>
      <c r="F1347" t="s">
        <v>13</v>
      </c>
      <c r="G1347" s="20">
        <v>1</v>
      </c>
      <c r="H1347" t="s">
        <v>4357</v>
      </c>
      <c r="I1347" t="s">
        <v>4357</v>
      </c>
      <c r="J1347" s="9"/>
      <c r="K1347" s="9"/>
      <c r="L1347" s="9"/>
    </row>
    <row r="1348" spans="2:12" ht="15" x14ac:dyDescent="0.25">
      <c r="B1348" t="s">
        <v>1305</v>
      </c>
      <c r="C1348" t="s">
        <v>1306</v>
      </c>
      <c r="D1348" t="str">
        <f>HYPERLINK("https://rhld.insurance.arkansas.gov/NPILookup?Npi=1962182964","1962182964")</f>
        <v>1962182964</v>
      </c>
      <c r="E1348" t="s">
        <v>1382</v>
      </c>
      <c r="F1348" t="s">
        <v>13</v>
      </c>
      <c r="G1348" s="20">
        <v>2</v>
      </c>
      <c r="H1348" t="s">
        <v>439</v>
      </c>
      <c r="I1348" t="s">
        <v>4357</v>
      </c>
      <c r="J1348" s="9"/>
      <c r="K1348" s="9"/>
      <c r="L1348" s="9"/>
    </row>
    <row r="1349" spans="2:12" ht="15" x14ac:dyDescent="0.25">
      <c r="B1349" t="s">
        <v>1305</v>
      </c>
      <c r="C1349" s="21" t="s">
        <v>1306</v>
      </c>
      <c r="D1349" s="21" t="str">
        <f>HYPERLINK("https://rhld.insurance.arkansas.gov/NPILookup?Npi=1952389504","1952389504")</f>
        <v>1952389504</v>
      </c>
      <c r="E1349" s="21" t="s">
        <v>1381</v>
      </c>
      <c r="F1349" s="21" t="s">
        <v>12</v>
      </c>
      <c r="G1349" s="22">
        <v>1</v>
      </c>
      <c r="H1349" s="21" t="s">
        <v>4338</v>
      </c>
      <c r="I1349" s="21" t="s">
        <v>32</v>
      </c>
      <c r="J1349" s="9"/>
      <c r="K1349" s="9"/>
      <c r="L1349" s="9"/>
    </row>
    <row r="1350" spans="2:12" ht="15" x14ac:dyDescent="0.25">
      <c r="B1350" t="s">
        <v>1305</v>
      </c>
      <c r="C1350" t="s">
        <v>1306</v>
      </c>
      <c r="D1350" t="str">
        <f>HYPERLINK("https://rhld.insurance.arkansas.gov/NPILookup?Npi=1972340214","1972340214")</f>
        <v>1972340214</v>
      </c>
      <c r="E1350" t="s">
        <v>1383</v>
      </c>
      <c r="F1350" t="s">
        <v>13</v>
      </c>
      <c r="G1350" s="20">
        <v>1</v>
      </c>
      <c r="H1350" t="s">
        <v>4357</v>
      </c>
      <c r="I1350" t="s">
        <v>4357</v>
      </c>
      <c r="J1350" s="9"/>
      <c r="K1350" s="9"/>
      <c r="L1350" s="9"/>
    </row>
    <row r="1351" spans="2:12" ht="15" x14ac:dyDescent="0.25">
      <c r="B1351" t="s">
        <v>1305</v>
      </c>
      <c r="C1351" t="s">
        <v>1306</v>
      </c>
      <c r="D1351" t="str">
        <f>HYPERLINK("https://rhld.insurance.arkansas.gov/NPILookup?Npi=1982481842","1982481842")</f>
        <v>1982481842</v>
      </c>
      <c r="E1351" t="s">
        <v>1384</v>
      </c>
      <c r="F1351" t="s">
        <v>13</v>
      </c>
      <c r="G1351" s="20">
        <v>2</v>
      </c>
      <c r="H1351" t="s">
        <v>439</v>
      </c>
      <c r="I1351" t="s">
        <v>4357</v>
      </c>
      <c r="J1351" s="9"/>
      <c r="K1351" s="9"/>
      <c r="L1351" s="9"/>
    </row>
    <row r="1352" spans="2:12" ht="15" x14ac:dyDescent="0.25">
      <c r="B1352" t="s">
        <v>1305</v>
      </c>
      <c r="C1352" t="s">
        <v>1306</v>
      </c>
      <c r="D1352" t="str">
        <f>HYPERLINK("https://rhld.insurance.arkansas.gov/NPILookup?Npi=1992523724","1992523724")</f>
        <v>1992523724</v>
      </c>
      <c r="E1352" t="s">
        <v>1385</v>
      </c>
      <c r="F1352" t="s">
        <v>13</v>
      </c>
      <c r="G1352" s="20">
        <v>1</v>
      </c>
      <c r="H1352" t="s">
        <v>4357</v>
      </c>
      <c r="I1352" t="s">
        <v>4357</v>
      </c>
      <c r="J1352" s="9"/>
      <c r="K1352" s="9"/>
      <c r="L1352" s="9"/>
    </row>
    <row r="1353" spans="2:12" ht="15" x14ac:dyDescent="0.25">
      <c r="B1353" t="s">
        <v>1386</v>
      </c>
      <c r="C1353" t="s">
        <v>1387</v>
      </c>
      <c r="D1353" t="str">
        <f>HYPERLINK("https://rhld.insurance.arkansas.gov/NPILookup?Npi=1033123195","1033123195")</f>
        <v>1033123195</v>
      </c>
      <c r="E1353" t="s">
        <v>1389</v>
      </c>
      <c r="F1353" t="s">
        <v>13</v>
      </c>
      <c r="G1353" s="20">
        <v>1</v>
      </c>
      <c r="H1353" t="s">
        <v>87</v>
      </c>
      <c r="I1353" t="s">
        <v>32</v>
      </c>
      <c r="J1353" s="9"/>
      <c r="K1353" s="9"/>
      <c r="L1353" s="9"/>
    </row>
    <row r="1354" spans="2:12" ht="15" x14ac:dyDescent="0.25">
      <c r="B1354" t="s">
        <v>1386</v>
      </c>
      <c r="C1354" t="s">
        <v>1387</v>
      </c>
      <c r="D1354" t="str">
        <f>HYPERLINK("https://rhld.insurance.arkansas.gov/NPILookup?Npi=1003097841","1003097841")</f>
        <v>1003097841</v>
      </c>
      <c r="E1354" t="s">
        <v>1388</v>
      </c>
      <c r="F1354" t="s">
        <v>12</v>
      </c>
      <c r="G1354" s="20">
        <v>1</v>
      </c>
      <c r="H1354" t="s">
        <v>4338</v>
      </c>
      <c r="I1354" t="s">
        <v>32</v>
      </c>
      <c r="J1354" s="9"/>
      <c r="K1354" s="9"/>
      <c r="L1354" s="9"/>
    </row>
    <row r="1355" spans="2:12" ht="15" x14ac:dyDescent="0.25">
      <c r="B1355" t="s">
        <v>1386</v>
      </c>
      <c r="C1355" t="s">
        <v>1387</v>
      </c>
      <c r="D1355" t="str">
        <f>HYPERLINK("https://rhld.insurance.arkansas.gov/NPILookup?Npi=1063582278","1063582278")</f>
        <v>1063582278</v>
      </c>
      <c r="E1355" t="s">
        <v>1392</v>
      </c>
      <c r="F1355" t="s">
        <v>13</v>
      </c>
      <c r="G1355" s="20">
        <v>1</v>
      </c>
      <c r="H1355" t="s">
        <v>87</v>
      </c>
      <c r="I1355" t="s">
        <v>4357</v>
      </c>
      <c r="J1355" s="9"/>
      <c r="K1355" s="9"/>
      <c r="L1355" s="9"/>
    </row>
    <row r="1356" spans="2:12" ht="15" x14ac:dyDescent="0.25">
      <c r="B1356" t="s">
        <v>1386</v>
      </c>
      <c r="C1356" t="s">
        <v>1387</v>
      </c>
      <c r="D1356" t="str">
        <f>HYPERLINK("https://rhld.insurance.arkansas.gov/NPILookup?Npi=1053393785","1053393785")</f>
        <v>1053393785</v>
      </c>
      <c r="E1356" t="s">
        <v>388</v>
      </c>
      <c r="F1356" t="s">
        <v>12</v>
      </c>
      <c r="G1356" s="20">
        <v>1</v>
      </c>
      <c r="H1356" t="s">
        <v>4338</v>
      </c>
      <c r="I1356" t="s">
        <v>32</v>
      </c>
      <c r="J1356" s="9"/>
      <c r="K1356" s="9"/>
      <c r="L1356" s="9"/>
    </row>
    <row r="1357" spans="2:12" ht="15" x14ac:dyDescent="0.25">
      <c r="B1357" t="s">
        <v>1386</v>
      </c>
      <c r="C1357" t="s">
        <v>1387</v>
      </c>
      <c r="D1357" t="str">
        <f>HYPERLINK("https://rhld.insurance.arkansas.gov/NPILookup?Npi=1053536060","1053536060")</f>
        <v>1053536060</v>
      </c>
      <c r="E1357" t="s">
        <v>391</v>
      </c>
      <c r="F1357" t="s">
        <v>12</v>
      </c>
      <c r="G1357" s="20">
        <v>1</v>
      </c>
      <c r="H1357" t="s">
        <v>4338</v>
      </c>
      <c r="I1357" t="s">
        <v>32</v>
      </c>
      <c r="J1357" s="9"/>
      <c r="K1357" s="9"/>
      <c r="L1357" s="9"/>
    </row>
    <row r="1358" spans="2:12" ht="15" x14ac:dyDescent="0.25">
      <c r="B1358" t="s">
        <v>1386</v>
      </c>
      <c r="C1358" t="s">
        <v>1387</v>
      </c>
      <c r="D1358" t="str">
        <f>HYPERLINK("https://rhld.insurance.arkansas.gov/NPILookup?Npi=1053846154","1053846154")</f>
        <v>1053846154</v>
      </c>
      <c r="E1358" t="s">
        <v>1390</v>
      </c>
      <c r="F1358" t="s">
        <v>12</v>
      </c>
      <c r="G1358" s="20">
        <v>1</v>
      </c>
      <c r="H1358" t="s">
        <v>139</v>
      </c>
      <c r="I1358" t="s">
        <v>4357</v>
      </c>
      <c r="J1358" s="9"/>
      <c r="K1358" s="9"/>
      <c r="L1358" s="9"/>
    </row>
    <row r="1359" spans="2:12" ht="15" x14ac:dyDescent="0.25">
      <c r="B1359" t="s">
        <v>1386</v>
      </c>
      <c r="C1359" t="s">
        <v>1387</v>
      </c>
      <c r="D1359" t="str">
        <f>HYPERLINK("https://rhld.insurance.arkansas.gov/NPILookup?Npi=1053848457","1053848457")</f>
        <v>1053848457</v>
      </c>
      <c r="E1359" t="s">
        <v>1391</v>
      </c>
      <c r="F1359" t="s">
        <v>12</v>
      </c>
      <c r="G1359" s="20">
        <v>1</v>
      </c>
      <c r="H1359" t="s">
        <v>4338</v>
      </c>
      <c r="I1359" t="s">
        <v>32</v>
      </c>
      <c r="J1359" s="9"/>
      <c r="K1359" s="9"/>
      <c r="L1359" s="9"/>
    </row>
    <row r="1360" spans="2:12" ht="15" x14ac:dyDescent="0.25">
      <c r="B1360" t="s">
        <v>1386</v>
      </c>
      <c r="C1360" t="s">
        <v>1387</v>
      </c>
      <c r="D1360" t="str">
        <f>HYPERLINK("https://rhld.insurance.arkansas.gov/NPILookup?Npi=1063779213","1063779213")</f>
        <v>1063779213</v>
      </c>
      <c r="E1360" t="s">
        <v>1393</v>
      </c>
      <c r="F1360" t="s">
        <v>13</v>
      </c>
      <c r="G1360" s="20">
        <v>1</v>
      </c>
      <c r="H1360" t="s">
        <v>87</v>
      </c>
      <c r="I1360" t="s">
        <v>4357</v>
      </c>
      <c r="J1360" s="9"/>
      <c r="K1360" s="9"/>
      <c r="L1360" s="9"/>
    </row>
    <row r="1361" spans="2:12" ht="15" x14ac:dyDescent="0.25">
      <c r="B1361" t="s">
        <v>1386</v>
      </c>
      <c r="C1361" t="s">
        <v>1387</v>
      </c>
      <c r="D1361" t="str">
        <f>HYPERLINK("https://rhld.insurance.arkansas.gov/NPILookup?Npi=1073036232","1073036232")</f>
        <v>1073036232</v>
      </c>
      <c r="E1361" t="s">
        <v>1394</v>
      </c>
      <c r="F1361" t="s">
        <v>13</v>
      </c>
      <c r="G1361" s="20">
        <v>1</v>
      </c>
      <c r="H1361" t="s">
        <v>87</v>
      </c>
      <c r="I1361" t="s">
        <v>4357</v>
      </c>
      <c r="J1361" s="9"/>
      <c r="K1361" s="9"/>
      <c r="L1361" s="9"/>
    </row>
    <row r="1362" spans="2:12" ht="15" x14ac:dyDescent="0.25">
      <c r="B1362" t="s">
        <v>1386</v>
      </c>
      <c r="C1362" t="s">
        <v>1387</v>
      </c>
      <c r="D1362" t="str">
        <f>HYPERLINK("https://rhld.insurance.arkansas.gov/NPILookup?Npi=1174532469","1174532469")</f>
        <v>1174532469</v>
      </c>
      <c r="E1362" t="s">
        <v>1400</v>
      </c>
      <c r="F1362" t="s">
        <v>13</v>
      </c>
      <c r="G1362" s="20">
        <v>1</v>
      </c>
      <c r="H1362" t="s">
        <v>87</v>
      </c>
      <c r="I1362" t="s">
        <v>4357</v>
      </c>
      <c r="J1362" s="9"/>
      <c r="K1362" s="9"/>
      <c r="L1362" s="9"/>
    </row>
    <row r="1363" spans="2:12" ht="15" x14ac:dyDescent="0.25">
      <c r="B1363" t="s">
        <v>1386</v>
      </c>
      <c r="C1363" t="s">
        <v>1387</v>
      </c>
      <c r="D1363" t="str">
        <f>HYPERLINK("https://rhld.insurance.arkansas.gov/NPILookup?Npi=1083806210","1083806210")</f>
        <v>1083806210</v>
      </c>
      <c r="E1363" t="s">
        <v>1113</v>
      </c>
      <c r="F1363" t="s">
        <v>12</v>
      </c>
      <c r="G1363" s="20">
        <v>1</v>
      </c>
      <c r="H1363" t="s">
        <v>4338</v>
      </c>
      <c r="I1363" t="s">
        <v>32</v>
      </c>
      <c r="J1363" s="9"/>
      <c r="K1363" s="9"/>
      <c r="L1363" s="9"/>
    </row>
    <row r="1364" spans="2:12" ht="15" x14ac:dyDescent="0.25">
      <c r="B1364" t="s">
        <v>1386</v>
      </c>
      <c r="C1364" t="s">
        <v>1387</v>
      </c>
      <c r="D1364" t="str">
        <f>HYPERLINK("https://rhld.insurance.arkansas.gov/NPILookup?Npi=1104842483","1104842483")</f>
        <v>1104842483</v>
      </c>
      <c r="E1364" t="s">
        <v>1395</v>
      </c>
      <c r="F1364" t="s">
        <v>12</v>
      </c>
      <c r="G1364" s="20">
        <v>1</v>
      </c>
      <c r="H1364" t="s">
        <v>4338</v>
      </c>
      <c r="I1364" t="s">
        <v>32</v>
      </c>
      <c r="J1364" s="9"/>
      <c r="K1364" s="9"/>
      <c r="L1364" s="9"/>
    </row>
    <row r="1365" spans="2:12" ht="15" x14ac:dyDescent="0.25">
      <c r="B1365" t="s">
        <v>1386</v>
      </c>
      <c r="C1365" t="s">
        <v>1387</v>
      </c>
      <c r="D1365" t="str">
        <f>HYPERLINK("https://rhld.insurance.arkansas.gov/NPILookup?Npi=1134173024","1134173024")</f>
        <v>1134173024</v>
      </c>
      <c r="E1365" t="s">
        <v>1397</v>
      </c>
      <c r="F1365" t="s">
        <v>12</v>
      </c>
      <c r="G1365" s="20">
        <v>1</v>
      </c>
      <c r="H1365" t="s">
        <v>4338</v>
      </c>
      <c r="I1365" t="s">
        <v>4357</v>
      </c>
      <c r="J1365" s="9"/>
      <c r="K1365" s="9"/>
      <c r="L1365" s="9"/>
    </row>
    <row r="1366" spans="2:12" ht="15" x14ac:dyDescent="0.25">
      <c r="B1366" t="s">
        <v>1386</v>
      </c>
      <c r="C1366" t="s">
        <v>1387</v>
      </c>
      <c r="D1366" t="str">
        <f>HYPERLINK("https://rhld.insurance.arkansas.gov/NPILookup?Npi=1144586280","1144586280")</f>
        <v>1144586280</v>
      </c>
      <c r="E1366" t="s">
        <v>1398</v>
      </c>
      <c r="F1366" t="s">
        <v>12</v>
      </c>
      <c r="G1366" s="20">
        <v>1</v>
      </c>
      <c r="H1366" t="s">
        <v>4338</v>
      </c>
      <c r="I1366" t="s">
        <v>32</v>
      </c>
      <c r="J1366" s="9"/>
      <c r="K1366" s="9"/>
      <c r="L1366" s="9"/>
    </row>
    <row r="1367" spans="2:12" ht="15" x14ac:dyDescent="0.25">
      <c r="B1367" t="s">
        <v>1386</v>
      </c>
      <c r="C1367" t="s">
        <v>1387</v>
      </c>
      <c r="D1367" t="str">
        <f>HYPERLINK("https://rhld.insurance.arkansas.gov/NPILookup?Npi=1174056121","1174056121")</f>
        <v>1174056121</v>
      </c>
      <c r="E1367" t="s">
        <v>1399</v>
      </c>
      <c r="F1367" t="s">
        <v>12</v>
      </c>
      <c r="G1367" s="20">
        <v>1</v>
      </c>
      <c r="H1367" t="s">
        <v>4338</v>
      </c>
      <c r="I1367" t="s">
        <v>32</v>
      </c>
      <c r="J1367" s="9"/>
      <c r="K1367" s="9"/>
      <c r="L1367" s="9"/>
    </row>
    <row r="1368" spans="2:12" ht="15" x14ac:dyDescent="0.25">
      <c r="B1368" t="s">
        <v>1386</v>
      </c>
      <c r="C1368" t="s">
        <v>1387</v>
      </c>
      <c r="D1368" t="str">
        <f>HYPERLINK("https://rhld.insurance.arkansas.gov/NPILookup?Npi=1184720807","1184720807")</f>
        <v>1184720807</v>
      </c>
      <c r="E1368" t="s">
        <v>1401</v>
      </c>
      <c r="F1368" t="s">
        <v>13</v>
      </c>
      <c r="G1368" s="20">
        <v>1</v>
      </c>
      <c r="H1368" t="s">
        <v>87</v>
      </c>
      <c r="I1368" t="s">
        <v>4357</v>
      </c>
      <c r="J1368" s="9"/>
      <c r="K1368" s="9"/>
      <c r="L1368" s="9"/>
    </row>
    <row r="1369" spans="2:12" ht="15" x14ac:dyDescent="0.25">
      <c r="B1369" t="s">
        <v>1386</v>
      </c>
      <c r="C1369" t="s">
        <v>1387</v>
      </c>
      <c r="D1369" t="str">
        <f>HYPERLINK("https://rhld.insurance.arkansas.gov/NPILookup?Npi=1245631902","1245631902")</f>
        <v>1245631902</v>
      </c>
      <c r="E1369" t="s">
        <v>1405</v>
      </c>
      <c r="F1369" t="s">
        <v>13</v>
      </c>
      <c r="G1369" s="20">
        <v>1</v>
      </c>
      <c r="H1369" t="s">
        <v>87</v>
      </c>
      <c r="I1369" t="s">
        <v>32</v>
      </c>
      <c r="J1369" s="9"/>
      <c r="K1369" s="9"/>
      <c r="L1369" s="9"/>
    </row>
    <row r="1370" spans="2:12" ht="15" x14ac:dyDescent="0.25">
      <c r="B1370" t="s">
        <v>1386</v>
      </c>
      <c r="C1370" t="s">
        <v>1387</v>
      </c>
      <c r="D1370" t="str">
        <f>HYPERLINK("https://rhld.insurance.arkansas.gov/NPILookup?Npi=1194954222","1194954222")</f>
        <v>1194954222</v>
      </c>
      <c r="E1370" t="s">
        <v>1402</v>
      </c>
      <c r="F1370" t="s">
        <v>12</v>
      </c>
      <c r="G1370" s="20">
        <v>1</v>
      </c>
      <c r="H1370" t="s">
        <v>4338</v>
      </c>
      <c r="I1370" t="s">
        <v>32</v>
      </c>
      <c r="J1370" s="9"/>
      <c r="K1370" s="9"/>
      <c r="L1370" s="9"/>
    </row>
    <row r="1371" spans="2:12" ht="15" x14ac:dyDescent="0.25">
      <c r="B1371" t="s">
        <v>1386</v>
      </c>
      <c r="C1371" t="s">
        <v>1387</v>
      </c>
      <c r="D1371" t="str">
        <f>HYPERLINK("https://rhld.insurance.arkansas.gov/NPILookup?Npi=1205923471","1205923471")</f>
        <v>1205923471</v>
      </c>
      <c r="E1371" t="s">
        <v>1403</v>
      </c>
      <c r="F1371" t="s">
        <v>12</v>
      </c>
      <c r="G1371" s="20">
        <v>1</v>
      </c>
      <c r="H1371" t="s">
        <v>139</v>
      </c>
      <c r="I1371" t="s">
        <v>32</v>
      </c>
      <c r="J1371" s="9"/>
      <c r="K1371" s="9"/>
      <c r="L1371" s="9"/>
    </row>
    <row r="1372" spans="2:12" ht="15" x14ac:dyDescent="0.25">
      <c r="B1372" t="s">
        <v>1386</v>
      </c>
      <c r="C1372" t="s">
        <v>1387</v>
      </c>
      <c r="D1372" t="str">
        <f>HYPERLINK("https://rhld.insurance.arkansas.gov/NPILookup?Npi=1225418668","1225418668")</f>
        <v>1225418668</v>
      </c>
      <c r="E1372" t="s">
        <v>1404</v>
      </c>
      <c r="F1372" t="s">
        <v>12</v>
      </c>
      <c r="G1372" s="20">
        <v>1</v>
      </c>
      <c r="H1372" t="s">
        <v>4338</v>
      </c>
      <c r="I1372" t="s">
        <v>4357</v>
      </c>
      <c r="J1372" s="9"/>
      <c r="K1372" s="9"/>
      <c r="L1372" s="9"/>
    </row>
    <row r="1373" spans="2:12" ht="15" x14ac:dyDescent="0.25">
      <c r="B1373" t="s">
        <v>1386</v>
      </c>
      <c r="C1373" t="s">
        <v>1387</v>
      </c>
      <c r="D1373" t="str">
        <f>HYPERLINK("https://rhld.insurance.arkansas.gov/NPILookup?Npi=1306288642","1306288642")</f>
        <v>1306288642</v>
      </c>
      <c r="E1373" t="s">
        <v>1408</v>
      </c>
      <c r="F1373" t="s">
        <v>13</v>
      </c>
      <c r="G1373" s="20">
        <v>1</v>
      </c>
      <c r="H1373" t="s">
        <v>87</v>
      </c>
      <c r="I1373" t="s">
        <v>4357</v>
      </c>
      <c r="J1373" s="9"/>
      <c r="K1373" s="9"/>
      <c r="L1373" s="9"/>
    </row>
    <row r="1374" spans="2:12" ht="15" x14ac:dyDescent="0.25">
      <c r="B1374" t="s">
        <v>1386</v>
      </c>
      <c r="C1374" t="s">
        <v>1387</v>
      </c>
      <c r="D1374" t="str">
        <f>HYPERLINK("https://rhld.insurance.arkansas.gov/NPILookup?Npi=1255323663","1255323663")</f>
        <v>1255323663</v>
      </c>
      <c r="E1374" t="s">
        <v>1406</v>
      </c>
      <c r="F1374" t="s">
        <v>12</v>
      </c>
      <c r="G1374" s="20">
        <v>1</v>
      </c>
      <c r="H1374" t="s">
        <v>4338</v>
      </c>
      <c r="I1374" t="s">
        <v>4357</v>
      </c>
      <c r="J1374" s="9"/>
      <c r="K1374" s="9"/>
      <c r="L1374" s="9"/>
    </row>
    <row r="1375" spans="2:12" ht="15" x14ac:dyDescent="0.25">
      <c r="B1375" t="s">
        <v>1386</v>
      </c>
      <c r="C1375" t="s">
        <v>1387</v>
      </c>
      <c r="D1375" t="str">
        <f>HYPERLINK("https://rhld.insurance.arkansas.gov/NPILookup?Npi=1275559924","1275559924")</f>
        <v>1275559924</v>
      </c>
      <c r="E1375" t="s">
        <v>1407</v>
      </c>
      <c r="F1375" t="s">
        <v>12</v>
      </c>
      <c r="G1375" s="20">
        <v>1</v>
      </c>
      <c r="H1375" t="s">
        <v>4338</v>
      </c>
      <c r="I1375" t="s">
        <v>32</v>
      </c>
      <c r="J1375" s="9"/>
      <c r="K1375" s="9"/>
      <c r="L1375" s="9"/>
    </row>
    <row r="1376" spans="2:12" ht="15" x14ac:dyDescent="0.25">
      <c r="B1376" t="s">
        <v>1386</v>
      </c>
      <c r="C1376" t="s">
        <v>1387</v>
      </c>
      <c r="D1376" t="str">
        <f>HYPERLINK("https://rhld.insurance.arkansas.gov/NPILookup?Npi=1306826250","1306826250")</f>
        <v>1306826250</v>
      </c>
      <c r="E1376" t="s">
        <v>1409</v>
      </c>
      <c r="F1376" t="s">
        <v>13</v>
      </c>
      <c r="G1376" s="20">
        <v>1</v>
      </c>
      <c r="H1376" t="s">
        <v>87</v>
      </c>
      <c r="I1376" t="s">
        <v>4357</v>
      </c>
      <c r="J1376" s="9"/>
      <c r="K1376" s="9"/>
      <c r="L1376" s="9"/>
    </row>
    <row r="1377" spans="2:12" ht="15" x14ac:dyDescent="0.25">
      <c r="B1377" t="s">
        <v>1386</v>
      </c>
      <c r="C1377" t="s">
        <v>1387</v>
      </c>
      <c r="D1377" t="str">
        <f>HYPERLINK("https://rhld.insurance.arkansas.gov/NPILookup?Npi=1437133352","1437133352")</f>
        <v>1437133352</v>
      </c>
      <c r="E1377" t="s">
        <v>1413</v>
      </c>
      <c r="F1377" t="s">
        <v>13</v>
      </c>
      <c r="G1377" s="20">
        <v>1</v>
      </c>
      <c r="H1377" t="s">
        <v>4357</v>
      </c>
      <c r="I1377" t="s">
        <v>4357</v>
      </c>
      <c r="J1377" s="9"/>
      <c r="K1377" s="9"/>
      <c r="L1377" s="9"/>
    </row>
    <row r="1378" spans="2:12" ht="15" x14ac:dyDescent="0.25">
      <c r="B1378" t="s">
        <v>1386</v>
      </c>
      <c r="C1378" t="s">
        <v>1387</v>
      </c>
      <c r="D1378" t="str">
        <f>HYPERLINK("https://rhld.insurance.arkansas.gov/NPILookup?Npi=1306936976","1306936976")</f>
        <v>1306936976</v>
      </c>
      <c r="E1378" t="s">
        <v>1410</v>
      </c>
      <c r="F1378" t="s">
        <v>12</v>
      </c>
      <c r="G1378" s="20">
        <v>1</v>
      </c>
      <c r="H1378" t="s">
        <v>4338</v>
      </c>
      <c r="I1378" t="s">
        <v>32</v>
      </c>
      <c r="J1378" s="9"/>
      <c r="K1378" s="9"/>
      <c r="L1378" s="9"/>
    </row>
    <row r="1379" spans="2:12" ht="15" x14ac:dyDescent="0.25">
      <c r="B1379" t="s">
        <v>1386</v>
      </c>
      <c r="C1379" t="s">
        <v>1387</v>
      </c>
      <c r="D1379" t="str">
        <f>HYPERLINK("https://rhld.insurance.arkansas.gov/NPILookup?Npi=1316155914","1316155914")</f>
        <v>1316155914</v>
      </c>
      <c r="E1379" t="s">
        <v>551</v>
      </c>
      <c r="F1379" t="s">
        <v>12</v>
      </c>
      <c r="G1379" s="20">
        <v>1</v>
      </c>
      <c r="H1379" t="s">
        <v>4338</v>
      </c>
      <c r="I1379" t="s">
        <v>32</v>
      </c>
      <c r="J1379" s="9"/>
      <c r="K1379" s="9"/>
      <c r="L1379" s="9"/>
    </row>
    <row r="1380" spans="2:12" ht="15" x14ac:dyDescent="0.25">
      <c r="B1380" t="s">
        <v>1386</v>
      </c>
      <c r="C1380" t="s">
        <v>1387</v>
      </c>
      <c r="D1380" t="str">
        <f>HYPERLINK("https://rhld.insurance.arkansas.gov/NPILookup?Npi=1376539288","1376539288")</f>
        <v>1376539288</v>
      </c>
      <c r="E1380" t="s">
        <v>1411</v>
      </c>
      <c r="F1380" t="s">
        <v>12</v>
      </c>
      <c r="G1380" s="20">
        <v>1</v>
      </c>
      <c r="H1380" t="s">
        <v>4338</v>
      </c>
      <c r="I1380" t="s">
        <v>32</v>
      </c>
      <c r="J1380" s="9"/>
      <c r="K1380" s="9"/>
      <c r="L1380" s="9"/>
    </row>
    <row r="1381" spans="2:12" ht="15" x14ac:dyDescent="0.25">
      <c r="B1381" t="s">
        <v>1386</v>
      </c>
      <c r="C1381" t="s">
        <v>1387</v>
      </c>
      <c r="D1381" t="str">
        <f>HYPERLINK("https://rhld.insurance.arkansas.gov/NPILookup?Npi=1386695674","1386695674")</f>
        <v>1386695674</v>
      </c>
      <c r="E1381" t="s">
        <v>1412</v>
      </c>
      <c r="F1381" t="s">
        <v>12</v>
      </c>
      <c r="G1381" s="20">
        <v>1</v>
      </c>
      <c r="H1381" t="s">
        <v>4338</v>
      </c>
      <c r="I1381" t="s">
        <v>32</v>
      </c>
      <c r="J1381" s="9"/>
      <c r="K1381" s="9"/>
      <c r="L1381" s="9"/>
    </row>
    <row r="1382" spans="2:12" ht="15" x14ac:dyDescent="0.25">
      <c r="B1382" t="s">
        <v>1386</v>
      </c>
      <c r="C1382" t="s">
        <v>1387</v>
      </c>
      <c r="D1382" t="str">
        <f>HYPERLINK("https://rhld.insurance.arkansas.gov/NPILookup?Npi=1386987766","1386987766")</f>
        <v>1386987766</v>
      </c>
      <c r="E1382" t="s">
        <v>1044</v>
      </c>
      <c r="F1382" t="s">
        <v>12</v>
      </c>
      <c r="G1382" s="20">
        <v>1</v>
      </c>
      <c r="H1382" t="s">
        <v>4338</v>
      </c>
      <c r="I1382" t="s">
        <v>32</v>
      </c>
      <c r="J1382" s="9"/>
      <c r="K1382" s="9"/>
      <c r="L1382" s="9"/>
    </row>
    <row r="1383" spans="2:12" ht="15" x14ac:dyDescent="0.25">
      <c r="B1383" t="s">
        <v>1386</v>
      </c>
      <c r="C1383" t="s">
        <v>1387</v>
      </c>
      <c r="D1383" t="str">
        <f>HYPERLINK("https://rhld.insurance.arkansas.gov/NPILookup?Npi=1477551380","1477551380")</f>
        <v>1477551380</v>
      </c>
      <c r="E1383" t="s">
        <v>1418</v>
      </c>
      <c r="F1383" t="s">
        <v>13</v>
      </c>
      <c r="G1383" s="20">
        <v>1</v>
      </c>
      <c r="H1383" t="s">
        <v>87</v>
      </c>
      <c r="I1383" t="s">
        <v>4357</v>
      </c>
      <c r="J1383" s="9"/>
      <c r="K1383" s="9"/>
      <c r="L1383" s="9"/>
    </row>
    <row r="1384" spans="2:12" ht="15" x14ac:dyDescent="0.25">
      <c r="B1384" t="s">
        <v>1386</v>
      </c>
      <c r="C1384" t="s">
        <v>1387</v>
      </c>
      <c r="D1384" t="str">
        <f>HYPERLINK("https://rhld.insurance.arkansas.gov/NPILookup?Npi=1437311297","1437311297")</f>
        <v>1437311297</v>
      </c>
      <c r="E1384" t="s">
        <v>1414</v>
      </c>
      <c r="F1384" t="s">
        <v>12</v>
      </c>
      <c r="G1384" s="20">
        <v>1</v>
      </c>
      <c r="H1384" t="s">
        <v>139</v>
      </c>
      <c r="I1384" t="s">
        <v>4357</v>
      </c>
      <c r="J1384" s="9"/>
      <c r="K1384" s="9"/>
      <c r="L1384" s="9"/>
    </row>
    <row r="1385" spans="2:12" ht="15" x14ac:dyDescent="0.25">
      <c r="B1385" t="s">
        <v>1386</v>
      </c>
      <c r="C1385" t="s">
        <v>1387</v>
      </c>
      <c r="D1385" t="str">
        <f>HYPERLINK("https://rhld.insurance.arkansas.gov/NPILookup?Npi=1437590080","1437590080")</f>
        <v>1437590080</v>
      </c>
      <c r="E1385" t="s">
        <v>1415</v>
      </c>
      <c r="F1385" t="s">
        <v>12</v>
      </c>
      <c r="G1385" s="20">
        <v>1</v>
      </c>
      <c r="H1385" t="s">
        <v>4338</v>
      </c>
      <c r="I1385" t="s">
        <v>32</v>
      </c>
      <c r="J1385" s="9"/>
      <c r="K1385" s="9"/>
      <c r="L1385" s="9"/>
    </row>
    <row r="1386" spans="2:12" ht="15" x14ac:dyDescent="0.25">
      <c r="B1386" t="s">
        <v>1386</v>
      </c>
      <c r="C1386" t="s">
        <v>1387</v>
      </c>
      <c r="D1386" t="str">
        <f>HYPERLINK("https://rhld.insurance.arkansas.gov/NPILookup?Npi=1447560719","1447560719")</f>
        <v>1447560719</v>
      </c>
      <c r="E1386" t="s">
        <v>1416</v>
      </c>
      <c r="F1386" t="s">
        <v>12</v>
      </c>
      <c r="G1386" s="20">
        <v>1</v>
      </c>
      <c r="H1386" t="s">
        <v>4338</v>
      </c>
      <c r="I1386" t="s">
        <v>4357</v>
      </c>
      <c r="J1386" s="9"/>
      <c r="K1386" s="9"/>
      <c r="L1386" s="9"/>
    </row>
    <row r="1387" spans="2:12" ht="15" x14ac:dyDescent="0.25">
      <c r="B1387" t="s">
        <v>1386</v>
      </c>
      <c r="C1387" t="s">
        <v>1387</v>
      </c>
      <c r="D1387" t="str">
        <f>HYPERLINK("https://rhld.insurance.arkansas.gov/NPILookup?Npi=1457524209","1457524209")</f>
        <v>1457524209</v>
      </c>
      <c r="E1387" t="s">
        <v>1417</v>
      </c>
      <c r="F1387" t="s">
        <v>12</v>
      </c>
      <c r="G1387" s="20">
        <v>1</v>
      </c>
      <c r="H1387" t="s">
        <v>4338</v>
      </c>
      <c r="I1387" t="s">
        <v>4357</v>
      </c>
      <c r="J1387" s="9"/>
      <c r="K1387" s="9"/>
      <c r="L1387" s="9"/>
    </row>
    <row r="1388" spans="2:12" ht="15" x14ac:dyDescent="0.25">
      <c r="B1388" t="s">
        <v>1386</v>
      </c>
      <c r="C1388" t="s">
        <v>1387</v>
      </c>
      <c r="D1388" t="str">
        <f>HYPERLINK("https://rhld.insurance.arkansas.gov/NPILookup?Npi=1679737969","1679737969")</f>
        <v>1679737969</v>
      </c>
      <c r="E1388" t="s">
        <v>1427</v>
      </c>
      <c r="F1388" t="s">
        <v>13</v>
      </c>
      <c r="G1388" s="20">
        <v>1</v>
      </c>
      <c r="H1388" t="s">
        <v>87</v>
      </c>
      <c r="I1388" t="s">
        <v>32</v>
      </c>
      <c r="J1388" s="9"/>
      <c r="K1388" s="9"/>
      <c r="L1388" s="9"/>
    </row>
    <row r="1389" spans="2:12" ht="15" x14ac:dyDescent="0.25">
      <c r="B1389" t="s">
        <v>1386</v>
      </c>
      <c r="C1389" t="s">
        <v>1387</v>
      </c>
      <c r="D1389" t="str">
        <f>HYPERLINK("https://rhld.insurance.arkansas.gov/NPILookup?Npi=1477585347","1477585347")</f>
        <v>1477585347</v>
      </c>
      <c r="E1389" t="s">
        <v>1419</v>
      </c>
      <c r="F1389" t="s">
        <v>12</v>
      </c>
      <c r="G1389" s="20">
        <v>1</v>
      </c>
      <c r="H1389" t="s">
        <v>4338</v>
      </c>
      <c r="I1389" t="s">
        <v>32</v>
      </c>
      <c r="J1389" s="9"/>
      <c r="K1389" s="9"/>
      <c r="L1389" s="9"/>
    </row>
    <row r="1390" spans="2:12" ht="15" x14ac:dyDescent="0.25">
      <c r="B1390" t="s">
        <v>1386</v>
      </c>
      <c r="C1390" t="s">
        <v>1387</v>
      </c>
      <c r="D1390" t="str">
        <f>HYPERLINK("https://rhld.insurance.arkansas.gov/NPILookup?Npi=1508839572","1508839572")</f>
        <v>1508839572</v>
      </c>
      <c r="E1390" t="s">
        <v>1420</v>
      </c>
      <c r="F1390" t="s">
        <v>12</v>
      </c>
      <c r="G1390" s="20">
        <v>1</v>
      </c>
      <c r="H1390" t="s">
        <v>4338</v>
      </c>
      <c r="I1390" t="s">
        <v>32</v>
      </c>
      <c r="J1390" s="9"/>
      <c r="K1390" s="9"/>
      <c r="L1390" s="9"/>
    </row>
    <row r="1391" spans="2:12" ht="15" x14ac:dyDescent="0.25">
      <c r="B1391" t="s">
        <v>1386</v>
      </c>
      <c r="C1391" t="s">
        <v>1387</v>
      </c>
      <c r="D1391" t="str">
        <f>HYPERLINK("https://rhld.insurance.arkansas.gov/NPILookup?Npi=1558562710","1558562710")</f>
        <v>1558562710</v>
      </c>
      <c r="E1391" t="s">
        <v>1421</v>
      </c>
      <c r="F1391" t="s">
        <v>12</v>
      </c>
      <c r="G1391" s="20">
        <v>1</v>
      </c>
      <c r="H1391" t="s">
        <v>4338</v>
      </c>
      <c r="I1391" t="s">
        <v>32</v>
      </c>
      <c r="J1391" s="9"/>
      <c r="K1391" s="9"/>
      <c r="L1391" s="9"/>
    </row>
    <row r="1392" spans="2:12" ht="15" x14ac:dyDescent="0.25">
      <c r="B1392" t="s">
        <v>1386</v>
      </c>
      <c r="C1392" t="s">
        <v>1387</v>
      </c>
      <c r="D1392" t="str">
        <f>HYPERLINK("https://rhld.insurance.arkansas.gov/NPILookup?Npi=1568782811","1568782811")</f>
        <v>1568782811</v>
      </c>
      <c r="E1392" t="s">
        <v>1423</v>
      </c>
      <c r="F1392" t="s">
        <v>12</v>
      </c>
      <c r="G1392" s="20">
        <v>1</v>
      </c>
      <c r="H1392" t="s">
        <v>4338</v>
      </c>
      <c r="I1392" t="s">
        <v>4357</v>
      </c>
      <c r="J1392" s="9"/>
      <c r="K1392" s="9"/>
      <c r="L1392" s="9"/>
    </row>
    <row r="1393" spans="2:12" ht="15" x14ac:dyDescent="0.25">
      <c r="B1393" t="s">
        <v>1386</v>
      </c>
      <c r="C1393" t="s">
        <v>1387</v>
      </c>
      <c r="D1393" t="str">
        <f>HYPERLINK("https://rhld.insurance.arkansas.gov/NPILookup?Npi=1578958401","1578958401")</f>
        <v>1578958401</v>
      </c>
      <c r="E1393" t="s">
        <v>1424</v>
      </c>
      <c r="F1393" t="s">
        <v>12</v>
      </c>
      <c r="G1393" s="20">
        <v>1</v>
      </c>
      <c r="H1393" t="s">
        <v>4338</v>
      </c>
      <c r="I1393" t="s">
        <v>32</v>
      </c>
      <c r="J1393" s="9"/>
      <c r="K1393" s="9"/>
      <c r="L1393" s="9"/>
    </row>
    <row r="1394" spans="2:12" ht="15" x14ac:dyDescent="0.25">
      <c r="B1394" t="s">
        <v>1386</v>
      </c>
      <c r="C1394" t="s">
        <v>1387</v>
      </c>
      <c r="D1394" t="str">
        <f>HYPERLINK("https://rhld.insurance.arkansas.gov/NPILookup?Npi=1588711469","1588711469")</f>
        <v>1588711469</v>
      </c>
      <c r="E1394" t="s">
        <v>1425</v>
      </c>
      <c r="F1394" t="s">
        <v>12</v>
      </c>
      <c r="G1394" s="20">
        <v>1</v>
      </c>
      <c r="H1394" t="s">
        <v>4338</v>
      </c>
      <c r="I1394" t="s">
        <v>4357</v>
      </c>
      <c r="J1394" s="9"/>
      <c r="K1394" s="9"/>
      <c r="L1394" s="9"/>
    </row>
    <row r="1395" spans="2:12" ht="15" x14ac:dyDescent="0.25">
      <c r="B1395" t="s">
        <v>1386</v>
      </c>
      <c r="C1395" t="s">
        <v>1387</v>
      </c>
      <c r="D1395" t="str">
        <f>HYPERLINK("https://rhld.insurance.arkansas.gov/NPILookup?Npi=1649267824","1649267824")</f>
        <v>1649267824</v>
      </c>
      <c r="E1395" t="s">
        <v>1426</v>
      </c>
      <c r="F1395" t="s">
        <v>12</v>
      </c>
      <c r="G1395" s="20">
        <v>1</v>
      </c>
      <c r="H1395" t="s">
        <v>4338</v>
      </c>
      <c r="I1395" t="s">
        <v>32</v>
      </c>
      <c r="J1395" s="9"/>
      <c r="K1395" s="9"/>
      <c r="L1395" s="9"/>
    </row>
    <row r="1396" spans="2:12" ht="15" x14ac:dyDescent="0.25">
      <c r="B1396" t="s">
        <v>1386</v>
      </c>
      <c r="C1396" t="s">
        <v>1387</v>
      </c>
      <c r="D1396" t="str">
        <f>HYPERLINK("https://rhld.insurance.arkansas.gov/NPILookup?Npi=1699206946","1699206946")</f>
        <v>1699206946</v>
      </c>
      <c r="E1396" t="s">
        <v>1428</v>
      </c>
      <c r="F1396" t="s">
        <v>13</v>
      </c>
      <c r="G1396" s="20">
        <v>1</v>
      </c>
      <c r="H1396" t="s">
        <v>87</v>
      </c>
      <c r="I1396" t="s">
        <v>32</v>
      </c>
      <c r="J1396" s="9"/>
      <c r="K1396" s="9"/>
      <c r="L1396" s="9"/>
    </row>
    <row r="1397" spans="2:12" ht="15" x14ac:dyDescent="0.25">
      <c r="B1397" t="s">
        <v>1386</v>
      </c>
      <c r="C1397" t="s">
        <v>1387</v>
      </c>
      <c r="D1397" t="str">
        <f>HYPERLINK("https://rhld.insurance.arkansas.gov/NPILookup?Npi=1710188867","1710188867")</f>
        <v>1710188867</v>
      </c>
      <c r="E1397" t="s">
        <v>1430</v>
      </c>
      <c r="F1397" t="s">
        <v>13</v>
      </c>
      <c r="G1397" s="20">
        <v>1</v>
      </c>
      <c r="H1397" t="s">
        <v>87</v>
      </c>
      <c r="I1397" t="s">
        <v>4357</v>
      </c>
      <c r="J1397" s="9"/>
      <c r="K1397" s="9"/>
      <c r="L1397" s="9"/>
    </row>
    <row r="1398" spans="2:12" ht="15" x14ac:dyDescent="0.25">
      <c r="B1398" t="s">
        <v>1386</v>
      </c>
      <c r="C1398" t="s">
        <v>1387</v>
      </c>
      <c r="D1398" t="str">
        <f>HYPERLINK("https://rhld.insurance.arkansas.gov/NPILookup?Npi=1700396777","1700396777")</f>
        <v>1700396777</v>
      </c>
      <c r="E1398" t="s">
        <v>1429</v>
      </c>
      <c r="F1398" t="s">
        <v>12</v>
      </c>
      <c r="G1398" s="20">
        <v>1</v>
      </c>
      <c r="H1398" t="s">
        <v>139</v>
      </c>
      <c r="I1398" t="s">
        <v>32</v>
      </c>
      <c r="J1398" s="9"/>
      <c r="K1398" s="9"/>
      <c r="L1398" s="9"/>
    </row>
    <row r="1399" spans="2:12" ht="15" x14ac:dyDescent="0.25">
      <c r="B1399" t="s">
        <v>1386</v>
      </c>
      <c r="C1399" t="s">
        <v>1387</v>
      </c>
      <c r="D1399" t="str">
        <f>HYPERLINK("https://rhld.insurance.arkansas.gov/NPILookup?Npi=1922441468","1922441468")</f>
        <v>1922441468</v>
      </c>
      <c r="E1399" t="s">
        <v>1439</v>
      </c>
      <c r="F1399" t="s">
        <v>13</v>
      </c>
      <c r="G1399" s="20">
        <v>1</v>
      </c>
      <c r="H1399" t="s">
        <v>4357</v>
      </c>
      <c r="I1399" t="s">
        <v>4357</v>
      </c>
      <c r="J1399" s="9"/>
      <c r="K1399" s="9"/>
      <c r="L1399" s="9"/>
    </row>
    <row r="1400" spans="2:12" ht="15" x14ac:dyDescent="0.25">
      <c r="B1400" t="s">
        <v>1386</v>
      </c>
      <c r="C1400" t="s">
        <v>1387</v>
      </c>
      <c r="D1400" t="str">
        <f>HYPERLINK("https://rhld.insurance.arkansas.gov/NPILookup?Npi=1720010648","1720010648")</f>
        <v>1720010648</v>
      </c>
      <c r="E1400" t="s">
        <v>1432</v>
      </c>
      <c r="F1400" t="s">
        <v>12</v>
      </c>
      <c r="G1400" s="20">
        <v>1</v>
      </c>
      <c r="H1400" t="s">
        <v>4338</v>
      </c>
      <c r="I1400" t="s">
        <v>4357</v>
      </c>
      <c r="J1400" s="9"/>
      <c r="K1400" s="9"/>
      <c r="L1400" s="9"/>
    </row>
    <row r="1401" spans="2:12" ht="15" x14ac:dyDescent="0.25">
      <c r="B1401" t="s">
        <v>1386</v>
      </c>
      <c r="C1401" t="s">
        <v>1387</v>
      </c>
      <c r="D1401" t="str">
        <f>HYPERLINK("https://rhld.insurance.arkansas.gov/NPILookup?Npi=1740272368","1740272368")</f>
        <v>1740272368</v>
      </c>
      <c r="E1401" t="s">
        <v>1433</v>
      </c>
      <c r="F1401" t="s">
        <v>12</v>
      </c>
      <c r="G1401" s="20">
        <v>1</v>
      </c>
      <c r="H1401" t="s">
        <v>4338</v>
      </c>
      <c r="I1401" t="s">
        <v>32</v>
      </c>
      <c r="J1401" s="9"/>
      <c r="K1401" s="9"/>
      <c r="L1401" s="9"/>
    </row>
    <row r="1402" spans="2:12" ht="15" x14ac:dyDescent="0.25">
      <c r="B1402" t="s">
        <v>1386</v>
      </c>
      <c r="C1402" t="s">
        <v>1387</v>
      </c>
      <c r="D1402" t="str">
        <f>HYPERLINK("https://rhld.insurance.arkansas.gov/NPILookup?Npi=1770013567","1770013567")</f>
        <v>1770013567</v>
      </c>
      <c r="E1402" t="s">
        <v>1434</v>
      </c>
      <c r="F1402" t="s">
        <v>12</v>
      </c>
      <c r="G1402" s="20">
        <v>1</v>
      </c>
      <c r="H1402" t="s">
        <v>4338</v>
      </c>
      <c r="I1402" t="s">
        <v>32</v>
      </c>
      <c r="J1402" s="9"/>
      <c r="K1402" s="9"/>
      <c r="L1402" s="9"/>
    </row>
    <row r="1403" spans="2:12" ht="15" x14ac:dyDescent="0.25">
      <c r="B1403" t="s">
        <v>1386</v>
      </c>
      <c r="C1403" t="s">
        <v>1387</v>
      </c>
      <c r="D1403" t="str">
        <f>HYPERLINK("https://rhld.insurance.arkansas.gov/NPILookup?Npi=1770926404","1770926404")</f>
        <v>1770926404</v>
      </c>
      <c r="E1403" t="s">
        <v>1435</v>
      </c>
      <c r="F1403" t="s">
        <v>12</v>
      </c>
      <c r="G1403" s="20">
        <v>1</v>
      </c>
      <c r="H1403" t="s">
        <v>4338</v>
      </c>
      <c r="I1403" t="s">
        <v>32</v>
      </c>
      <c r="J1403" s="9"/>
      <c r="K1403" s="9"/>
      <c r="L1403" s="9"/>
    </row>
    <row r="1404" spans="2:12" ht="15" x14ac:dyDescent="0.25">
      <c r="B1404" t="s">
        <v>1386</v>
      </c>
      <c r="C1404" t="s">
        <v>1387</v>
      </c>
      <c r="D1404" t="str">
        <f>HYPERLINK("https://rhld.insurance.arkansas.gov/NPILookup?Npi=1780079780","1780079780")</f>
        <v>1780079780</v>
      </c>
      <c r="E1404" t="s">
        <v>1436</v>
      </c>
      <c r="F1404" t="s">
        <v>12</v>
      </c>
      <c r="G1404" s="20">
        <v>1</v>
      </c>
      <c r="H1404" t="s">
        <v>4338</v>
      </c>
      <c r="I1404" t="s">
        <v>32</v>
      </c>
      <c r="J1404" s="9"/>
      <c r="K1404" s="9"/>
      <c r="L1404" s="9"/>
    </row>
    <row r="1405" spans="2:12" ht="15" x14ac:dyDescent="0.25">
      <c r="B1405" t="s">
        <v>1386</v>
      </c>
      <c r="C1405" t="s">
        <v>1387</v>
      </c>
      <c r="D1405" t="str">
        <f>HYPERLINK("https://rhld.insurance.arkansas.gov/NPILookup?Npi=1780927855","1780927855")</f>
        <v>1780927855</v>
      </c>
      <c r="E1405" t="s">
        <v>1437</v>
      </c>
      <c r="F1405" t="s">
        <v>12</v>
      </c>
      <c r="G1405" s="20">
        <v>1</v>
      </c>
      <c r="H1405" t="s">
        <v>4338</v>
      </c>
      <c r="I1405" t="s">
        <v>4357</v>
      </c>
      <c r="J1405" s="9"/>
      <c r="K1405" s="9"/>
      <c r="L1405" s="9"/>
    </row>
    <row r="1406" spans="2:12" ht="15" x14ac:dyDescent="0.25">
      <c r="B1406" t="s">
        <v>1386</v>
      </c>
      <c r="C1406" t="s">
        <v>1387</v>
      </c>
      <c r="D1406" t="str">
        <f>HYPERLINK("https://rhld.insurance.arkansas.gov/NPILookup?Npi=1881894673","1881894673")</f>
        <v>1881894673</v>
      </c>
      <c r="E1406" t="s">
        <v>1438</v>
      </c>
      <c r="F1406" t="s">
        <v>12</v>
      </c>
      <c r="G1406" s="20">
        <v>1</v>
      </c>
      <c r="H1406" t="s">
        <v>4338</v>
      </c>
      <c r="I1406" t="s">
        <v>32</v>
      </c>
      <c r="J1406" s="9"/>
      <c r="K1406" s="9"/>
      <c r="L1406" s="9"/>
    </row>
    <row r="1407" spans="2:12" ht="15" x14ac:dyDescent="0.25">
      <c r="B1407" t="s">
        <v>1444</v>
      </c>
      <c r="C1407" t="s">
        <v>1445</v>
      </c>
      <c r="D1407" t="str">
        <f>HYPERLINK("https://rhld.insurance.arkansas.gov/NPILookup?Npi=1104879964","1104879964")</f>
        <v>1104879964</v>
      </c>
      <c r="E1407" t="s">
        <v>1446</v>
      </c>
      <c r="F1407" t="s">
        <v>13</v>
      </c>
      <c r="G1407" s="20">
        <v>1</v>
      </c>
      <c r="H1407" t="s">
        <v>87</v>
      </c>
      <c r="I1407" t="s">
        <v>4357</v>
      </c>
      <c r="J1407" s="9"/>
      <c r="K1407" s="9"/>
      <c r="L1407" s="9"/>
    </row>
    <row r="1408" spans="2:12" ht="15" x14ac:dyDescent="0.25">
      <c r="B1408" t="s">
        <v>1386</v>
      </c>
      <c r="C1408" t="s">
        <v>1387</v>
      </c>
      <c r="D1408" t="str">
        <f>HYPERLINK("https://rhld.insurance.arkansas.gov/NPILookup?Npi=1932350683","1932350683")</f>
        <v>1932350683</v>
      </c>
      <c r="E1408" t="s">
        <v>1440</v>
      </c>
      <c r="F1408" t="s">
        <v>12</v>
      </c>
      <c r="G1408" s="20">
        <v>1</v>
      </c>
      <c r="H1408" t="s">
        <v>4338</v>
      </c>
      <c r="I1408" t="s">
        <v>32</v>
      </c>
      <c r="J1408" s="9"/>
      <c r="K1408" s="9"/>
      <c r="L1408" s="9"/>
    </row>
    <row r="1409" spans="2:12" ht="15" x14ac:dyDescent="0.25">
      <c r="B1409" t="s">
        <v>1386</v>
      </c>
      <c r="C1409" t="s">
        <v>1387</v>
      </c>
      <c r="D1409" t="str">
        <f>HYPERLINK("https://rhld.insurance.arkansas.gov/NPILookup?Npi=1932381530","1932381530")</f>
        <v>1932381530</v>
      </c>
      <c r="E1409" t="s">
        <v>1441</v>
      </c>
      <c r="F1409" t="s">
        <v>12</v>
      </c>
      <c r="G1409" s="20">
        <v>1</v>
      </c>
      <c r="H1409" t="s">
        <v>4338</v>
      </c>
      <c r="I1409" t="s">
        <v>4357</v>
      </c>
      <c r="J1409" s="9"/>
      <c r="K1409" s="9"/>
      <c r="L1409" s="9"/>
    </row>
    <row r="1410" spans="2:12" ht="15" x14ac:dyDescent="0.25">
      <c r="B1410" t="s">
        <v>1386</v>
      </c>
      <c r="C1410" t="s">
        <v>1387</v>
      </c>
      <c r="D1410" t="str">
        <f>HYPERLINK("https://rhld.insurance.arkansas.gov/NPILookup?Npi=1932587128","1932587128")</f>
        <v>1932587128</v>
      </c>
      <c r="E1410" t="s">
        <v>1442</v>
      </c>
      <c r="F1410" t="s">
        <v>12</v>
      </c>
      <c r="G1410" s="20">
        <v>1</v>
      </c>
      <c r="H1410" t="s">
        <v>4338</v>
      </c>
      <c r="I1410" t="s">
        <v>4357</v>
      </c>
      <c r="J1410" s="9"/>
      <c r="K1410" s="9"/>
      <c r="L1410" s="9"/>
    </row>
    <row r="1411" spans="2:12" ht="15" x14ac:dyDescent="0.25">
      <c r="B1411" t="s">
        <v>1386</v>
      </c>
      <c r="C1411" t="s">
        <v>1387</v>
      </c>
      <c r="D1411" t="str">
        <f>HYPERLINK("https://rhld.insurance.arkansas.gov/NPILookup?Npi=1972506046","1972506046")</f>
        <v>1972506046</v>
      </c>
      <c r="E1411" t="s">
        <v>1443</v>
      </c>
      <c r="F1411" t="s">
        <v>12</v>
      </c>
      <c r="G1411" s="20">
        <v>1</v>
      </c>
      <c r="H1411" t="s">
        <v>139</v>
      </c>
      <c r="I1411" t="s">
        <v>4357</v>
      </c>
      <c r="J1411" s="9"/>
      <c r="K1411" s="9"/>
      <c r="L1411" s="9"/>
    </row>
    <row r="1412" spans="2:12" ht="15" x14ac:dyDescent="0.25">
      <c r="B1412" t="s">
        <v>1444</v>
      </c>
      <c r="C1412" s="21" t="s">
        <v>1445</v>
      </c>
      <c r="D1412" s="21" t="str">
        <f>HYPERLINK("https://rhld.insurance.arkansas.gov/NPILookup?Npi=1023190469","1023190469")</f>
        <v>1023190469</v>
      </c>
      <c r="E1412" s="21" t="s">
        <v>1168</v>
      </c>
      <c r="F1412" s="21" t="s">
        <v>12</v>
      </c>
      <c r="G1412" s="22">
        <v>1</v>
      </c>
      <c r="H1412" s="21" t="s">
        <v>4338</v>
      </c>
      <c r="I1412" s="21" t="s">
        <v>32</v>
      </c>
      <c r="J1412" s="9"/>
      <c r="K1412" s="9"/>
      <c r="L1412" s="9"/>
    </row>
    <row r="1413" spans="2:12" ht="15" x14ac:dyDescent="0.25">
      <c r="B1413" t="s">
        <v>1444</v>
      </c>
      <c r="C1413" t="s">
        <v>1445</v>
      </c>
      <c r="D1413" t="str">
        <f>HYPERLINK("https://rhld.insurance.arkansas.gov/NPILookup?Npi=1154434264","1154434264")</f>
        <v>1154434264</v>
      </c>
      <c r="E1413" t="s">
        <v>1448</v>
      </c>
      <c r="F1413" t="s">
        <v>13</v>
      </c>
      <c r="G1413" s="20">
        <v>1</v>
      </c>
      <c r="H1413" t="s">
        <v>87</v>
      </c>
      <c r="I1413" t="s">
        <v>32</v>
      </c>
      <c r="J1413" s="9"/>
      <c r="K1413" s="9"/>
      <c r="L1413" s="9"/>
    </row>
    <row r="1414" spans="2:12" ht="15" x14ac:dyDescent="0.25">
      <c r="B1414" t="s">
        <v>1444</v>
      </c>
      <c r="C1414" s="21" t="s">
        <v>1445</v>
      </c>
      <c r="D1414" s="21" t="str">
        <f>HYPERLINK("https://rhld.insurance.arkansas.gov/NPILookup?Npi=1114158698","1114158698")</f>
        <v>1114158698</v>
      </c>
      <c r="E1414" s="21" t="s">
        <v>1447</v>
      </c>
      <c r="F1414" s="21" t="s">
        <v>12</v>
      </c>
      <c r="G1414" s="22">
        <v>1</v>
      </c>
      <c r="H1414" s="21" t="s">
        <v>4338</v>
      </c>
      <c r="I1414" s="21" t="s">
        <v>4357</v>
      </c>
      <c r="J1414" s="9"/>
      <c r="K1414" s="9"/>
      <c r="L1414" s="9"/>
    </row>
    <row r="1415" spans="2:12" ht="15" x14ac:dyDescent="0.25">
      <c r="B1415" t="s">
        <v>1444</v>
      </c>
      <c r="C1415" t="s">
        <v>1445</v>
      </c>
      <c r="D1415" t="str">
        <f>HYPERLINK("https://rhld.insurance.arkansas.gov/NPILookup?Npi=1457814774","1457814774")</f>
        <v>1457814774</v>
      </c>
      <c r="E1415" t="s">
        <v>1452</v>
      </c>
      <c r="F1415" t="s">
        <v>13</v>
      </c>
      <c r="G1415" s="20">
        <v>2</v>
      </c>
      <c r="H1415" t="s">
        <v>439</v>
      </c>
      <c r="I1415" t="s">
        <v>4357</v>
      </c>
      <c r="J1415" s="9"/>
      <c r="K1415" s="9"/>
      <c r="L1415" s="9"/>
    </row>
    <row r="1416" spans="2:12" ht="15" x14ac:dyDescent="0.25">
      <c r="B1416" t="s">
        <v>1444</v>
      </c>
      <c r="C1416" s="21" t="s">
        <v>1445</v>
      </c>
      <c r="D1416" s="21" t="str">
        <f>HYPERLINK("https://rhld.insurance.arkansas.gov/NPILookup?Npi=1245450139","1245450139")</f>
        <v>1245450139</v>
      </c>
      <c r="E1416" s="21" t="s">
        <v>1449</v>
      </c>
      <c r="F1416" s="21" t="s">
        <v>12</v>
      </c>
      <c r="G1416" s="22">
        <v>1</v>
      </c>
      <c r="H1416" s="21" t="s">
        <v>4338</v>
      </c>
      <c r="I1416" s="21" t="s">
        <v>32</v>
      </c>
      <c r="J1416" s="9"/>
      <c r="K1416" s="9"/>
      <c r="L1416" s="9"/>
    </row>
    <row r="1417" spans="2:12" ht="15" x14ac:dyDescent="0.25">
      <c r="B1417" t="s">
        <v>1444</v>
      </c>
      <c r="C1417" s="21" t="s">
        <v>1445</v>
      </c>
      <c r="D1417" s="21" t="str">
        <f>HYPERLINK("https://rhld.insurance.arkansas.gov/NPILookup?Npi=1285834630","1285834630")</f>
        <v>1285834630</v>
      </c>
      <c r="E1417" s="21" t="s">
        <v>1450</v>
      </c>
      <c r="F1417" s="21" t="s">
        <v>12</v>
      </c>
      <c r="G1417" s="22">
        <v>1</v>
      </c>
      <c r="H1417" s="21" t="s">
        <v>4338</v>
      </c>
      <c r="I1417" s="21" t="s">
        <v>4357</v>
      </c>
      <c r="J1417" s="9"/>
      <c r="K1417" s="9"/>
      <c r="L1417" s="9"/>
    </row>
    <row r="1418" spans="2:12" ht="15" x14ac:dyDescent="0.25">
      <c r="B1418" t="s">
        <v>1444</v>
      </c>
      <c r="C1418" s="21" t="s">
        <v>1445</v>
      </c>
      <c r="D1418" s="21" t="str">
        <f>HYPERLINK("https://rhld.insurance.arkansas.gov/NPILookup?Npi=1346602679","1346602679")</f>
        <v>1346602679</v>
      </c>
      <c r="E1418" s="21" t="s">
        <v>1451</v>
      </c>
      <c r="F1418" s="21" t="s">
        <v>12</v>
      </c>
      <c r="G1418" s="22">
        <v>1</v>
      </c>
      <c r="H1418" s="21" t="s">
        <v>4338</v>
      </c>
      <c r="I1418" s="21" t="s">
        <v>32</v>
      </c>
      <c r="J1418" s="9"/>
      <c r="K1418" s="9"/>
      <c r="L1418" s="9"/>
    </row>
    <row r="1419" spans="2:12" ht="15" x14ac:dyDescent="0.25">
      <c r="B1419" t="s">
        <v>1444</v>
      </c>
      <c r="C1419" t="s">
        <v>1445</v>
      </c>
      <c r="D1419" t="str">
        <f>HYPERLINK("https://rhld.insurance.arkansas.gov/NPILookup?Npi=1710093166","1710093166")</f>
        <v>1710093166</v>
      </c>
      <c r="E1419" t="s">
        <v>1456</v>
      </c>
      <c r="F1419" t="s">
        <v>13</v>
      </c>
      <c r="G1419" s="20">
        <v>1</v>
      </c>
      <c r="H1419" t="s">
        <v>87</v>
      </c>
      <c r="I1419" t="s">
        <v>32</v>
      </c>
      <c r="J1419" s="9"/>
      <c r="K1419" s="9"/>
      <c r="L1419" s="9"/>
    </row>
    <row r="1420" spans="2:12" ht="15" x14ac:dyDescent="0.25">
      <c r="B1420" t="s">
        <v>1444</v>
      </c>
      <c r="C1420" s="21" t="s">
        <v>1445</v>
      </c>
      <c r="D1420" s="21" t="str">
        <f>HYPERLINK("https://rhld.insurance.arkansas.gov/NPILookup?Npi=1508887191","1508887191")</f>
        <v>1508887191</v>
      </c>
      <c r="E1420" s="21" t="s">
        <v>1453</v>
      </c>
      <c r="F1420" s="21" t="s">
        <v>12</v>
      </c>
      <c r="G1420" s="22">
        <v>1</v>
      </c>
      <c r="H1420" s="21" t="s">
        <v>4338</v>
      </c>
      <c r="I1420" s="21" t="s">
        <v>4357</v>
      </c>
      <c r="J1420" s="9"/>
      <c r="K1420" s="9"/>
      <c r="L1420" s="9"/>
    </row>
    <row r="1421" spans="2:12" ht="15" x14ac:dyDescent="0.25">
      <c r="B1421" t="s">
        <v>1444</v>
      </c>
      <c r="C1421" s="21" t="s">
        <v>1445</v>
      </c>
      <c r="D1421" s="21" t="str">
        <f>HYPERLINK("https://rhld.insurance.arkansas.gov/NPILookup?Npi=1548371289","1548371289")</f>
        <v>1548371289</v>
      </c>
      <c r="E1421" s="21" t="s">
        <v>1454</v>
      </c>
      <c r="F1421" s="21" t="s">
        <v>12</v>
      </c>
      <c r="G1421" s="22">
        <v>1</v>
      </c>
      <c r="H1421" s="21" t="s">
        <v>4338</v>
      </c>
      <c r="I1421" s="21" t="s">
        <v>32</v>
      </c>
      <c r="J1421" s="9"/>
      <c r="K1421" s="9"/>
      <c r="L1421" s="9"/>
    </row>
    <row r="1422" spans="2:12" ht="15" x14ac:dyDescent="0.25">
      <c r="B1422" t="s">
        <v>1444</v>
      </c>
      <c r="C1422" s="21" t="s">
        <v>1445</v>
      </c>
      <c r="D1422" s="21" t="str">
        <f>HYPERLINK("https://rhld.insurance.arkansas.gov/NPILookup?Npi=1659494334","1659494334")</f>
        <v>1659494334</v>
      </c>
      <c r="E1422" s="21" t="s">
        <v>1455</v>
      </c>
      <c r="F1422" s="21" t="s">
        <v>12</v>
      </c>
      <c r="G1422" s="22">
        <v>1</v>
      </c>
      <c r="H1422" s="21" t="s">
        <v>4338</v>
      </c>
      <c r="I1422" s="21" t="s">
        <v>32</v>
      </c>
      <c r="J1422" s="9"/>
      <c r="K1422" s="9"/>
      <c r="L1422" s="9"/>
    </row>
    <row r="1423" spans="2:12" ht="15" x14ac:dyDescent="0.25">
      <c r="B1423" t="s">
        <v>1444</v>
      </c>
      <c r="C1423" t="s">
        <v>1445</v>
      </c>
      <c r="D1423" t="str">
        <f>HYPERLINK("https://rhld.insurance.arkansas.gov/NPILookup?Npi=1730717299","1730717299")</f>
        <v>1730717299</v>
      </c>
      <c r="E1423" t="s">
        <v>1457</v>
      </c>
      <c r="F1423" t="s">
        <v>13</v>
      </c>
      <c r="G1423" s="20">
        <v>1</v>
      </c>
      <c r="H1423" t="s">
        <v>4357</v>
      </c>
      <c r="I1423" t="s">
        <v>4357</v>
      </c>
      <c r="J1423" s="9"/>
      <c r="K1423" s="9"/>
      <c r="L1423" s="9"/>
    </row>
    <row r="1424" spans="2:12" ht="15" x14ac:dyDescent="0.25">
      <c r="B1424" t="s">
        <v>1444</v>
      </c>
      <c r="C1424" t="s">
        <v>1445</v>
      </c>
      <c r="D1424" t="str">
        <f>HYPERLINK("https://rhld.insurance.arkansas.gov/NPILookup?Npi=1891145538","1891145538")</f>
        <v>1891145538</v>
      </c>
      <c r="E1424" t="s">
        <v>1459</v>
      </c>
      <c r="F1424" t="s">
        <v>13</v>
      </c>
      <c r="G1424" s="20">
        <v>2</v>
      </c>
      <c r="H1424" t="s">
        <v>439</v>
      </c>
      <c r="I1424" t="s">
        <v>4357</v>
      </c>
      <c r="J1424" s="9"/>
      <c r="K1424" s="9"/>
      <c r="L1424" s="9"/>
    </row>
    <row r="1425" spans="2:12" ht="15" x14ac:dyDescent="0.25">
      <c r="B1425" t="s">
        <v>1444</v>
      </c>
      <c r="C1425" s="21" t="s">
        <v>1445</v>
      </c>
      <c r="D1425" s="21" t="str">
        <f>HYPERLINK("https://rhld.insurance.arkansas.gov/NPILookup?Npi=1750480554","1750480554")</f>
        <v>1750480554</v>
      </c>
      <c r="E1425" s="21" t="s">
        <v>1458</v>
      </c>
      <c r="F1425" s="21" t="s">
        <v>12</v>
      </c>
      <c r="G1425" s="22">
        <v>1</v>
      </c>
      <c r="H1425" s="21" t="s">
        <v>4338</v>
      </c>
      <c r="I1425" s="21" t="s">
        <v>4357</v>
      </c>
      <c r="J1425" s="9"/>
      <c r="K1425" s="23"/>
      <c r="L1425" s="9"/>
    </row>
    <row r="1426" spans="2:12" ht="15" x14ac:dyDescent="0.25">
      <c r="B1426" t="s">
        <v>1461</v>
      </c>
      <c r="C1426" t="s">
        <v>1462</v>
      </c>
      <c r="D1426" t="str">
        <f>HYPERLINK("https://rhld.insurance.arkansas.gov/NPILookup?Npi=1205491461","1205491461")</f>
        <v>1205491461</v>
      </c>
      <c r="E1426" t="s">
        <v>1465</v>
      </c>
      <c r="F1426" t="s">
        <v>13</v>
      </c>
      <c r="G1426" s="20">
        <v>1</v>
      </c>
      <c r="H1426" t="s">
        <v>87</v>
      </c>
      <c r="I1426" t="s">
        <v>4357</v>
      </c>
      <c r="J1426" s="9"/>
      <c r="K1426" s="9"/>
      <c r="L1426" s="9"/>
    </row>
    <row r="1427" spans="2:12" ht="15" x14ac:dyDescent="0.25">
      <c r="B1427" t="s">
        <v>1444</v>
      </c>
      <c r="C1427" s="21" t="s">
        <v>1445</v>
      </c>
      <c r="D1427" s="21" t="str">
        <f>HYPERLINK("https://rhld.insurance.arkansas.gov/NPILookup?Npi=1902000698","1902000698")</f>
        <v>1902000698</v>
      </c>
      <c r="E1427" s="21" t="s">
        <v>1460</v>
      </c>
      <c r="F1427" s="21" t="s">
        <v>12</v>
      </c>
      <c r="G1427" s="22">
        <v>1</v>
      </c>
      <c r="H1427" s="21" t="s">
        <v>4338</v>
      </c>
      <c r="I1427" s="21" t="s">
        <v>32</v>
      </c>
      <c r="J1427" s="9"/>
      <c r="K1427" s="23"/>
      <c r="L1427" s="9"/>
    </row>
    <row r="1428" spans="2:12" ht="15" x14ac:dyDescent="0.25">
      <c r="B1428" t="s">
        <v>1444</v>
      </c>
      <c r="C1428" s="21" t="s">
        <v>1445</v>
      </c>
      <c r="D1428" s="21" t="str">
        <f>HYPERLINK("https://rhld.insurance.arkansas.gov/NPILookup?Npi=1992735922","1992735922")</f>
        <v>1992735922</v>
      </c>
      <c r="E1428" s="21" t="s">
        <v>145</v>
      </c>
      <c r="F1428" s="21" t="s">
        <v>12</v>
      </c>
      <c r="G1428" s="22">
        <v>1</v>
      </c>
      <c r="H1428" s="21" t="s">
        <v>4338</v>
      </c>
      <c r="I1428" s="21" t="s">
        <v>32</v>
      </c>
      <c r="J1428" s="9"/>
      <c r="K1428" s="9"/>
      <c r="L1428" s="9"/>
    </row>
    <row r="1429" spans="2:12" ht="15" x14ac:dyDescent="0.25">
      <c r="B1429" t="s">
        <v>1461</v>
      </c>
      <c r="C1429" s="21" t="s">
        <v>1462</v>
      </c>
      <c r="D1429" s="21" t="str">
        <f>HYPERLINK("https://rhld.insurance.arkansas.gov/NPILookup?Npi=1043056195","1043056195")</f>
        <v>1043056195</v>
      </c>
      <c r="E1429" s="21" t="s">
        <v>1463</v>
      </c>
      <c r="F1429" s="21" t="s">
        <v>12</v>
      </c>
      <c r="G1429" s="22">
        <v>1</v>
      </c>
      <c r="H1429" s="21" t="s">
        <v>1464</v>
      </c>
      <c r="I1429" s="21" t="s">
        <v>4357</v>
      </c>
      <c r="J1429" s="9"/>
      <c r="K1429" s="23"/>
      <c r="L1429" s="9"/>
    </row>
    <row r="1430" spans="2:12" ht="15" x14ac:dyDescent="0.25">
      <c r="B1430" t="s">
        <v>1461</v>
      </c>
      <c r="C1430" t="s">
        <v>1462</v>
      </c>
      <c r="D1430" t="str">
        <f>HYPERLINK("https://rhld.insurance.arkansas.gov/NPILookup?Npi=1295764108","1295764108")</f>
        <v>1295764108</v>
      </c>
      <c r="E1430" t="s">
        <v>1467</v>
      </c>
      <c r="F1430" t="s">
        <v>13</v>
      </c>
      <c r="G1430" s="20">
        <v>1</v>
      </c>
      <c r="H1430" t="s">
        <v>87</v>
      </c>
      <c r="I1430" t="s">
        <v>32</v>
      </c>
      <c r="J1430" s="9"/>
      <c r="K1430" s="23"/>
      <c r="L1430" s="9"/>
    </row>
    <row r="1431" spans="2:12" ht="15" x14ac:dyDescent="0.25">
      <c r="B1431" t="s">
        <v>1461</v>
      </c>
      <c r="C1431" s="21" t="s">
        <v>1462</v>
      </c>
      <c r="D1431" s="21" t="str">
        <f>HYPERLINK("https://rhld.insurance.arkansas.gov/NPILookup?Npi=1295571487","1295571487")</f>
        <v>1295571487</v>
      </c>
      <c r="E1431" s="21" t="s">
        <v>1466</v>
      </c>
      <c r="F1431" s="21" t="s">
        <v>12</v>
      </c>
      <c r="G1431" s="22">
        <v>1</v>
      </c>
      <c r="H1431" s="21" t="s">
        <v>1464</v>
      </c>
      <c r="I1431" s="21" t="s">
        <v>4357</v>
      </c>
      <c r="J1431" s="9"/>
      <c r="K1431" s="9"/>
      <c r="L1431" s="9"/>
    </row>
    <row r="1432" spans="2:12" ht="15" x14ac:dyDescent="0.25">
      <c r="B1432" t="s">
        <v>1461</v>
      </c>
      <c r="C1432" t="s">
        <v>1462</v>
      </c>
      <c r="D1432" t="str">
        <f>HYPERLINK("https://rhld.insurance.arkansas.gov/NPILookup?Npi=1386734879","1386734879")</f>
        <v>1386734879</v>
      </c>
      <c r="E1432" t="s">
        <v>1470</v>
      </c>
      <c r="F1432" t="s">
        <v>13</v>
      </c>
      <c r="G1432" s="20">
        <v>1</v>
      </c>
      <c r="H1432" t="s">
        <v>87</v>
      </c>
      <c r="I1432" t="s">
        <v>32</v>
      </c>
      <c r="J1432" s="9"/>
      <c r="K1432" s="23"/>
      <c r="L1432" s="9"/>
    </row>
    <row r="1433" spans="2:12" ht="15" x14ac:dyDescent="0.25">
      <c r="B1433" t="s">
        <v>1461</v>
      </c>
      <c r="C1433" s="21" t="s">
        <v>1462</v>
      </c>
      <c r="D1433" s="21" t="str">
        <f>HYPERLINK("https://rhld.insurance.arkansas.gov/NPILookup?Npi=1326064247","1326064247")</f>
        <v>1326064247</v>
      </c>
      <c r="E1433" s="21" t="s">
        <v>1468</v>
      </c>
      <c r="F1433" s="21" t="s">
        <v>12</v>
      </c>
      <c r="G1433" s="22">
        <v>1</v>
      </c>
      <c r="H1433" s="21" t="s">
        <v>141</v>
      </c>
      <c r="I1433" s="21" t="s">
        <v>32</v>
      </c>
      <c r="J1433" s="9"/>
      <c r="K1433" s="23"/>
      <c r="L1433" s="9"/>
    </row>
    <row r="1434" spans="2:12" ht="15" x14ac:dyDescent="0.25">
      <c r="B1434" t="s">
        <v>1461</v>
      </c>
      <c r="C1434" s="21" t="s">
        <v>1462</v>
      </c>
      <c r="D1434" s="21" t="str">
        <f>HYPERLINK("https://rhld.insurance.arkansas.gov/NPILookup?Npi=1366200909","1366200909")</f>
        <v>1366200909</v>
      </c>
      <c r="E1434" s="21" t="s">
        <v>1469</v>
      </c>
      <c r="F1434" s="21" t="s">
        <v>12</v>
      </c>
      <c r="G1434" s="22">
        <v>1</v>
      </c>
      <c r="H1434" s="21" t="s">
        <v>1464</v>
      </c>
      <c r="I1434" s="21" t="s">
        <v>4357</v>
      </c>
      <c r="J1434" s="9"/>
      <c r="K1434" s="9"/>
      <c r="L1434" s="9"/>
    </row>
    <row r="1435" spans="2:12" ht="15" x14ac:dyDescent="0.25">
      <c r="B1435" t="s">
        <v>1461</v>
      </c>
      <c r="C1435" t="s">
        <v>1462</v>
      </c>
      <c r="D1435" t="str">
        <f>HYPERLINK("https://rhld.insurance.arkansas.gov/NPILookup?Npi=1578133484","1578133484")</f>
        <v>1578133484</v>
      </c>
      <c r="E1435" t="s">
        <v>1473</v>
      </c>
      <c r="F1435" t="s">
        <v>13</v>
      </c>
      <c r="G1435" s="20">
        <v>2</v>
      </c>
      <c r="H1435" t="s">
        <v>439</v>
      </c>
      <c r="I1435" t="s">
        <v>4357</v>
      </c>
      <c r="J1435" s="9"/>
      <c r="K1435" s="9"/>
      <c r="L1435" s="9"/>
    </row>
    <row r="1436" spans="2:12" ht="15" x14ac:dyDescent="0.25">
      <c r="B1436" t="s">
        <v>1461</v>
      </c>
      <c r="C1436" s="21" t="s">
        <v>1462</v>
      </c>
      <c r="D1436" s="21" t="str">
        <f>HYPERLINK("https://rhld.insurance.arkansas.gov/NPILookup?Npi=1497511810","1497511810")</f>
        <v>1497511810</v>
      </c>
      <c r="E1436" s="21" t="s">
        <v>1471</v>
      </c>
      <c r="F1436" s="21" t="s">
        <v>12</v>
      </c>
      <c r="G1436" s="22">
        <v>1</v>
      </c>
      <c r="H1436" s="21" t="s">
        <v>1464</v>
      </c>
      <c r="I1436" s="21" t="s">
        <v>4357</v>
      </c>
      <c r="J1436" s="9"/>
      <c r="K1436" s="23"/>
      <c r="L1436" s="9"/>
    </row>
    <row r="1437" spans="2:12" ht="15" x14ac:dyDescent="0.25">
      <c r="B1437" t="s">
        <v>1461</v>
      </c>
      <c r="C1437" s="21" t="s">
        <v>1462</v>
      </c>
      <c r="D1437" s="21" t="str">
        <f>HYPERLINK("https://rhld.insurance.arkansas.gov/NPILookup?Npi=1518071638","1518071638")</f>
        <v>1518071638</v>
      </c>
      <c r="E1437" s="21" t="s">
        <v>1472</v>
      </c>
      <c r="F1437" s="21" t="s">
        <v>12</v>
      </c>
      <c r="G1437" s="22">
        <v>1</v>
      </c>
      <c r="H1437" s="21" t="s">
        <v>4338</v>
      </c>
      <c r="I1437" s="21" t="s">
        <v>32</v>
      </c>
      <c r="J1437" s="9"/>
      <c r="K1437" s="9"/>
      <c r="L1437" s="9"/>
    </row>
    <row r="1438" spans="2:12" ht="15" x14ac:dyDescent="0.25">
      <c r="B1438" t="s">
        <v>1461</v>
      </c>
      <c r="C1438" t="s">
        <v>1462</v>
      </c>
      <c r="D1438" t="str">
        <f>HYPERLINK("https://rhld.insurance.arkansas.gov/NPILookup?Npi=1730328410","1730328410")</f>
        <v>1730328410</v>
      </c>
      <c r="E1438" t="s">
        <v>1474</v>
      </c>
      <c r="F1438" t="s">
        <v>13</v>
      </c>
      <c r="G1438" s="20">
        <v>1</v>
      </c>
      <c r="H1438" t="s">
        <v>4357</v>
      </c>
      <c r="I1438" t="s">
        <v>4357</v>
      </c>
      <c r="J1438" s="9"/>
      <c r="K1438" s="23"/>
      <c r="L1438" s="9"/>
    </row>
    <row r="1439" spans="2:12" ht="15" x14ac:dyDescent="0.25">
      <c r="B1439" t="s">
        <v>1461</v>
      </c>
      <c r="C1439" t="s">
        <v>1462</v>
      </c>
      <c r="D1439" t="str">
        <f>HYPERLINK("https://rhld.insurance.arkansas.gov/NPILookup?Npi=1821860354","1821860354")</f>
        <v>1821860354</v>
      </c>
      <c r="E1439" t="s">
        <v>1476</v>
      </c>
      <c r="F1439" t="s">
        <v>13</v>
      </c>
      <c r="G1439" s="20">
        <v>1</v>
      </c>
      <c r="H1439" t="s">
        <v>4357</v>
      </c>
      <c r="I1439" t="s">
        <v>4357</v>
      </c>
      <c r="J1439" s="9"/>
      <c r="K1439" s="9"/>
      <c r="L1439" s="9"/>
    </row>
    <row r="1440" spans="2:12" ht="15" x14ac:dyDescent="0.25">
      <c r="B1440" t="s">
        <v>1461</v>
      </c>
      <c r="C1440" s="21" t="s">
        <v>1462</v>
      </c>
      <c r="D1440" s="21" t="str">
        <f>HYPERLINK("https://rhld.insurance.arkansas.gov/NPILookup?Npi=1811995368","1811995368")</f>
        <v>1811995368</v>
      </c>
      <c r="E1440" s="21" t="s">
        <v>1475</v>
      </c>
      <c r="F1440" s="21" t="s">
        <v>12</v>
      </c>
      <c r="G1440" s="22">
        <v>1</v>
      </c>
      <c r="H1440" s="21" t="s">
        <v>141</v>
      </c>
      <c r="I1440" s="21" t="s">
        <v>32</v>
      </c>
      <c r="J1440" s="9"/>
      <c r="K1440" s="23"/>
      <c r="L1440" s="9"/>
    </row>
    <row r="1441" spans="2:12" ht="15" x14ac:dyDescent="0.25">
      <c r="B1441" t="s">
        <v>1461</v>
      </c>
      <c r="C1441" t="s">
        <v>1462</v>
      </c>
      <c r="D1441" t="str">
        <f>HYPERLINK("https://rhld.insurance.arkansas.gov/NPILookup?Npi=1952308769","1952308769")</f>
        <v>1952308769</v>
      </c>
      <c r="E1441" t="s">
        <v>1478</v>
      </c>
      <c r="F1441" t="s">
        <v>13</v>
      </c>
      <c r="G1441" s="20">
        <v>1</v>
      </c>
      <c r="H1441" t="s">
        <v>87</v>
      </c>
      <c r="I1441" t="s">
        <v>32</v>
      </c>
      <c r="J1441" s="9"/>
      <c r="K1441" s="9"/>
      <c r="L1441" s="9"/>
    </row>
    <row r="1442" spans="2:12" ht="15" x14ac:dyDescent="0.25">
      <c r="B1442" t="s">
        <v>1461</v>
      </c>
      <c r="C1442" s="21" t="s">
        <v>1462</v>
      </c>
      <c r="D1442" s="21" t="str">
        <f>HYPERLINK("https://rhld.insurance.arkansas.gov/NPILookup?Npi=1861458531","1861458531")</f>
        <v>1861458531</v>
      </c>
      <c r="E1442" s="21" t="s">
        <v>1477</v>
      </c>
      <c r="F1442" s="21" t="s">
        <v>12</v>
      </c>
      <c r="G1442" s="22">
        <v>1</v>
      </c>
      <c r="H1442" s="21" t="s">
        <v>4338</v>
      </c>
      <c r="I1442" s="21" t="s">
        <v>32</v>
      </c>
      <c r="J1442" s="9"/>
      <c r="K1442" s="9"/>
      <c r="L1442" s="9"/>
    </row>
    <row r="1443" spans="2:12" ht="15" x14ac:dyDescent="0.25">
      <c r="B1443" t="s">
        <v>1480</v>
      </c>
      <c r="C1443" t="s">
        <v>1481</v>
      </c>
      <c r="D1443" t="str">
        <f>HYPERLINK("https://rhld.insurance.arkansas.gov/NPILookup?Npi=1104818095","1104818095")</f>
        <v>1104818095</v>
      </c>
      <c r="E1443" t="s">
        <v>1484</v>
      </c>
      <c r="F1443" t="s">
        <v>13</v>
      </c>
      <c r="G1443" s="20">
        <v>1</v>
      </c>
      <c r="H1443" t="s">
        <v>87</v>
      </c>
      <c r="I1443" t="s">
        <v>4357</v>
      </c>
      <c r="J1443" s="9"/>
      <c r="K1443" s="9"/>
      <c r="L1443" s="9"/>
    </row>
    <row r="1444" spans="2:12" ht="15" x14ac:dyDescent="0.25">
      <c r="B1444" t="s">
        <v>1461</v>
      </c>
      <c r="C1444" s="21" t="s">
        <v>1462</v>
      </c>
      <c r="D1444" s="21" t="str">
        <f>HYPERLINK("https://rhld.insurance.arkansas.gov/NPILookup?Npi=1972358992","1972358992")</f>
        <v>1972358992</v>
      </c>
      <c r="E1444" s="21" t="s">
        <v>1479</v>
      </c>
      <c r="F1444" s="21" t="s">
        <v>12</v>
      </c>
      <c r="G1444" s="22">
        <v>1</v>
      </c>
      <c r="H1444" s="21" t="s">
        <v>1464</v>
      </c>
      <c r="I1444" s="21" t="s">
        <v>4357</v>
      </c>
      <c r="J1444" s="9"/>
      <c r="K1444" s="9"/>
      <c r="L1444" s="9"/>
    </row>
    <row r="1445" spans="2:12" ht="15" x14ac:dyDescent="0.25">
      <c r="B1445" t="s">
        <v>1480</v>
      </c>
      <c r="C1445" s="21" t="s">
        <v>1481</v>
      </c>
      <c r="D1445" s="21" t="str">
        <f>HYPERLINK("https://rhld.insurance.arkansas.gov/NPILookup?Npi=1003348871","1003348871")</f>
        <v>1003348871</v>
      </c>
      <c r="E1445" s="21" t="s">
        <v>1482</v>
      </c>
      <c r="F1445" s="21" t="s">
        <v>12</v>
      </c>
      <c r="G1445" s="22">
        <v>1</v>
      </c>
      <c r="H1445" s="21" t="s">
        <v>4338</v>
      </c>
      <c r="I1445" s="21" t="s">
        <v>4357</v>
      </c>
      <c r="J1445" s="9"/>
      <c r="K1445" s="9"/>
      <c r="L1445" s="9"/>
    </row>
    <row r="1446" spans="2:12" ht="15" x14ac:dyDescent="0.25">
      <c r="B1446" t="s">
        <v>1480</v>
      </c>
      <c r="C1446" s="21" t="s">
        <v>1481</v>
      </c>
      <c r="D1446" s="21" t="str">
        <f>HYPERLINK("https://rhld.insurance.arkansas.gov/NPILookup?Npi=1003822016","1003822016")</f>
        <v>1003822016</v>
      </c>
      <c r="E1446" s="21" t="s">
        <v>1483</v>
      </c>
      <c r="F1446" s="21" t="s">
        <v>12</v>
      </c>
      <c r="G1446" s="22">
        <v>2</v>
      </c>
      <c r="H1446" s="21" t="s">
        <v>4344</v>
      </c>
      <c r="I1446" s="21" t="s">
        <v>32</v>
      </c>
      <c r="J1446" s="9"/>
      <c r="K1446" s="9"/>
      <c r="L1446" s="9"/>
    </row>
    <row r="1447" spans="2:12" ht="15" x14ac:dyDescent="0.25">
      <c r="B1447" t="s">
        <v>1480</v>
      </c>
      <c r="C1447" t="s">
        <v>1481</v>
      </c>
      <c r="D1447" t="str">
        <f>HYPERLINK("https://rhld.insurance.arkansas.gov/NPILookup?Npi=1205833142","1205833142")</f>
        <v>1205833142</v>
      </c>
      <c r="E1447" t="s">
        <v>1487</v>
      </c>
      <c r="F1447" t="s">
        <v>13</v>
      </c>
      <c r="G1447" s="20">
        <v>1</v>
      </c>
      <c r="H1447" t="s">
        <v>87</v>
      </c>
      <c r="I1447" t="s">
        <v>4357</v>
      </c>
      <c r="J1447" s="9"/>
      <c r="K1447" s="9"/>
      <c r="L1447" s="9"/>
    </row>
    <row r="1448" spans="2:12" ht="15" x14ac:dyDescent="0.25">
      <c r="B1448" t="s">
        <v>1480</v>
      </c>
      <c r="C1448" s="21" t="s">
        <v>1481</v>
      </c>
      <c r="D1448" s="21" t="str">
        <f>HYPERLINK("https://rhld.insurance.arkansas.gov/NPILookup?Npi=1124085469","1124085469")</f>
        <v>1124085469</v>
      </c>
      <c r="E1448" s="21" t="s">
        <v>1485</v>
      </c>
      <c r="F1448" s="21" t="s">
        <v>12</v>
      </c>
      <c r="G1448" s="22">
        <v>1</v>
      </c>
      <c r="H1448" s="21" t="s">
        <v>4338</v>
      </c>
      <c r="I1448" s="21" t="s">
        <v>32</v>
      </c>
      <c r="J1448" s="9"/>
      <c r="K1448" s="9"/>
      <c r="L1448" s="9"/>
    </row>
    <row r="1449" spans="2:12" ht="15" x14ac:dyDescent="0.25">
      <c r="B1449" t="s">
        <v>1480</v>
      </c>
      <c r="C1449" s="21" t="s">
        <v>1481</v>
      </c>
      <c r="D1449" s="21" t="str">
        <f>HYPERLINK("https://rhld.insurance.arkansas.gov/NPILookup?Npi=1184076119","1184076119")</f>
        <v>1184076119</v>
      </c>
      <c r="E1449" s="21" t="s">
        <v>1486</v>
      </c>
      <c r="F1449" s="21" t="s">
        <v>12</v>
      </c>
      <c r="G1449" s="22">
        <v>1</v>
      </c>
      <c r="H1449" s="21" t="s">
        <v>139</v>
      </c>
      <c r="I1449" s="21" t="s">
        <v>32</v>
      </c>
      <c r="J1449" s="9"/>
      <c r="K1449" s="9"/>
      <c r="L1449" s="9"/>
    </row>
    <row r="1450" spans="2:12" ht="15" x14ac:dyDescent="0.25">
      <c r="B1450" t="s">
        <v>1480</v>
      </c>
      <c r="C1450" t="s">
        <v>1481</v>
      </c>
      <c r="D1450" t="str">
        <f>HYPERLINK("https://rhld.insurance.arkansas.gov/NPILookup?Npi=1316300486","1316300486")</f>
        <v>1316300486</v>
      </c>
      <c r="E1450" t="s">
        <v>1492</v>
      </c>
      <c r="F1450" t="s">
        <v>13</v>
      </c>
      <c r="G1450" s="20">
        <v>1</v>
      </c>
      <c r="H1450" t="s">
        <v>87</v>
      </c>
      <c r="I1450" t="s">
        <v>32</v>
      </c>
      <c r="J1450" s="9"/>
      <c r="K1450" s="9"/>
      <c r="L1450" s="9"/>
    </row>
    <row r="1451" spans="2:12" ht="15" x14ac:dyDescent="0.25">
      <c r="B1451" t="s">
        <v>1480</v>
      </c>
      <c r="C1451" s="21" t="s">
        <v>1481</v>
      </c>
      <c r="D1451" s="21" t="str">
        <f>HYPERLINK("https://rhld.insurance.arkansas.gov/NPILookup?Npi=1235651563","1235651563")</f>
        <v>1235651563</v>
      </c>
      <c r="E1451" s="21" t="s">
        <v>1488</v>
      </c>
      <c r="F1451" s="21" t="s">
        <v>12</v>
      </c>
      <c r="G1451" s="22">
        <v>1</v>
      </c>
      <c r="H1451" s="21" t="s">
        <v>139</v>
      </c>
      <c r="I1451" s="21" t="s">
        <v>32</v>
      </c>
      <c r="J1451" s="9"/>
      <c r="K1451" s="9"/>
      <c r="L1451" s="9"/>
    </row>
    <row r="1452" spans="2:12" ht="15" x14ac:dyDescent="0.25">
      <c r="B1452" t="s">
        <v>1480</v>
      </c>
      <c r="C1452" s="21" t="s">
        <v>1481</v>
      </c>
      <c r="D1452" s="21" t="str">
        <f>HYPERLINK("https://rhld.insurance.arkansas.gov/NPILookup?Npi=1275799025","1275799025")</f>
        <v>1275799025</v>
      </c>
      <c r="E1452" s="21" t="s">
        <v>1490</v>
      </c>
      <c r="F1452" s="21" t="s">
        <v>12</v>
      </c>
      <c r="G1452" s="22">
        <v>1</v>
      </c>
      <c r="H1452" s="21" t="s">
        <v>4338</v>
      </c>
      <c r="I1452" s="21" t="s">
        <v>32</v>
      </c>
      <c r="J1452" s="9"/>
      <c r="K1452" s="9"/>
      <c r="L1452" s="9"/>
    </row>
    <row r="1453" spans="2:12" ht="15" x14ac:dyDescent="0.25">
      <c r="B1453" t="s">
        <v>1480</v>
      </c>
      <c r="C1453" s="21" t="s">
        <v>1481</v>
      </c>
      <c r="D1453" s="21" t="str">
        <f>HYPERLINK("https://rhld.insurance.arkansas.gov/NPILookup?Npi=1295295269","1295295269")</f>
        <v>1295295269</v>
      </c>
      <c r="E1453" s="21" t="s">
        <v>1491</v>
      </c>
      <c r="F1453" s="21" t="s">
        <v>12</v>
      </c>
      <c r="G1453" s="22">
        <v>1</v>
      </c>
      <c r="H1453" s="21" t="s">
        <v>139</v>
      </c>
      <c r="I1453" s="21" t="s">
        <v>32</v>
      </c>
      <c r="J1453" s="9"/>
      <c r="K1453" s="9"/>
      <c r="L1453" s="9"/>
    </row>
    <row r="1454" spans="2:12" ht="15" x14ac:dyDescent="0.25">
      <c r="B1454" t="s">
        <v>1480</v>
      </c>
      <c r="C1454" t="s">
        <v>1481</v>
      </c>
      <c r="D1454" t="str">
        <f>HYPERLINK("https://rhld.insurance.arkansas.gov/NPILookup?Npi=1326029497","1326029497")</f>
        <v>1326029497</v>
      </c>
      <c r="E1454" t="s">
        <v>1493</v>
      </c>
      <c r="F1454" t="s">
        <v>13</v>
      </c>
      <c r="G1454" s="20">
        <v>1</v>
      </c>
      <c r="H1454" t="s">
        <v>87</v>
      </c>
      <c r="I1454" t="s">
        <v>4357</v>
      </c>
      <c r="J1454" s="9"/>
      <c r="K1454" s="9"/>
      <c r="L1454" s="9"/>
    </row>
    <row r="1455" spans="2:12" ht="15" x14ac:dyDescent="0.25">
      <c r="B1455" t="s">
        <v>1480</v>
      </c>
      <c r="C1455" t="s">
        <v>1481</v>
      </c>
      <c r="D1455" t="str">
        <f>HYPERLINK("https://rhld.insurance.arkansas.gov/NPILookup?Npi=1447221908","1447221908")</f>
        <v>1447221908</v>
      </c>
      <c r="E1455" t="s">
        <v>1499</v>
      </c>
      <c r="F1455" t="s">
        <v>13</v>
      </c>
      <c r="G1455" s="20">
        <v>1</v>
      </c>
      <c r="H1455" t="s">
        <v>87</v>
      </c>
      <c r="I1455" t="s">
        <v>4357</v>
      </c>
      <c r="J1455" s="9"/>
      <c r="K1455" s="9"/>
      <c r="L1455" s="9"/>
    </row>
    <row r="1456" spans="2:12" ht="15" x14ac:dyDescent="0.25">
      <c r="B1456" t="s">
        <v>1480</v>
      </c>
      <c r="C1456" s="21" t="s">
        <v>1481</v>
      </c>
      <c r="D1456" s="21" t="str">
        <f>HYPERLINK("https://rhld.insurance.arkansas.gov/NPILookup?Npi=1356558357","1356558357")</f>
        <v>1356558357</v>
      </c>
      <c r="E1456" s="21" t="s">
        <v>1494</v>
      </c>
      <c r="F1456" s="21" t="s">
        <v>12</v>
      </c>
      <c r="G1456" s="22">
        <v>1</v>
      </c>
      <c r="H1456" s="21" t="s">
        <v>4338</v>
      </c>
      <c r="I1456" s="21" t="s">
        <v>4357</v>
      </c>
      <c r="J1456" s="9"/>
      <c r="K1456" s="9"/>
      <c r="L1456" s="9"/>
    </row>
    <row r="1457" spans="2:12" ht="15" x14ac:dyDescent="0.25">
      <c r="B1457" t="s">
        <v>1480</v>
      </c>
      <c r="C1457" s="21" t="s">
        <v>1481</v>
      </c>
      <c r="D1457" s="21" t="str">
        <f>HYPERLINK("https://rhld.insurance.arkansas.gov/NPILookup?Npi=1366767972","1366767972")</f>
        <v>1366767972</v>
      </c>
      <c r="E1457" s="21" t="s">
        <v>1495</v>
      </c>
      <c r="F1457" s="21" t="s">
        <v>12</v>
      </c>
      <c r="G1457" s="22">
        <v>1</v>
      </c>
      <c r="H1457" s="21" t="s">
        <v>4338</v>
      </c>
      <c r="I1457" s="21" t="s">
        <v>32</v>
      </c>
      <c r="J1457" s="9"/>
      <c r="K1457" s="9"/>
      <c r="L1457" s="9"/>
    </row>
    <row r="1458" spans="2:12" ht="15" x14ac:dyDescent="0.25">
      <c r="B1458" t="s">
        <v>1480</v>
      </c>
      <c r="C1458" s="21" t="s">
        <v>1481</v>
      </c>
      <c r="D1458" s="21" t="str">
        <f>HYPERLINK("https://rhld.insurance.arkansas.gov/NPILookup?Npi=1366785016","1366785016")</f>
        <v>1366785016</v>
      </c>
      <c r="E1458" s="21" t="s">
        <v>1496</v>
      </c>
      <c r="F1458" s="21" t="s">
        <v>12</v>
      </c>
      <c r="G1458" s="22">
        <v>1</v>
      </c>
      <c r="H1458" s="21" t="s">
        <v>4338</v>
      </c>
      <c r="I1458" s="21" t="s">
        <v>32</v>
      </c>
      <c r="J1458" s="9"/>
      <c r="K1458" s="9"/>
      <c r="L1458" s="9"/>
    </row>
    <row r="1459" spans="2:12" ht="15" x14ac:dyDescent="0.25">
      <c r="B1459" t="s">
        <v>1480</v>
      </c>
      <c r="C1459" s="21" t="s">
        <v>1481</v>
      </c>
      <c r="D1459" s="21" t="str">
        <f>HYPERLINK("https://rhld.insurance.arkansas.gov/NPILookup?Npi=1407812589","1407812589")</f>
        <v>1407812589</v>
      </c>
      <c r="E1459" s="21" t="s">
        <v>1497</v>
      </c>
      <c r="F1459" s="21" t="s">
        <v>12</v>
      </c>
      <c r="G1459" s="22">
        <v>1</v>
      </c>
      <c r="H1459" s="21" t="s">
        <v>4338</v>
      </c>
      <c r="I1459" s="21" t="s">
        <v>32</v>
      </c>
      <c r="J1459" s="9"/>
      <c r="K1459" s="9"/>
      <c r="L1459" s="9"/>
    </row>
    <row r="1460" spans="2:12" ht="15" x14ac:dyDescent="0.25">
      <c r="B1460" t="s">
        <v>1480</v>
      </c>
      <c r="C1460" s="21" t="s">
        <v>1481</v>
      </c>
      <c r="D1460" s="21" t="str">
        <f>HYPERLINK("https://rhld.insurance.arkansas.gov/NPILookup?Npi=1427045111","1427045111")</f>
        <v>1427045111</v>
      </c>
      <c r="E1460" s="21" t="s">
        <v>1498</v>
      </c>
      <c r="F1460" s="21" t="s">
        <v>12</v>
      </c>
      <c r="G1460" s="22">
        <v>1</v>
      </c>
      <c r="H1460" s="21" t="s">
        <v>4338</v>
      </c>
      <c r="I1460" s="21" t="s">
        <v>4357</v>
      </c>
      <c r="J1460" s="9"/>
      <c r="K1460" s="9"/>
      <c r="L1460" s="9"/>
    </row>
    <row r="1461" spans="2:12" ht="15" x14ac:dyDescent="0.25">
      <c r="B1461" t="s">
        <v>1480</v>
      </c>
      <c r="C1461" t="s">
        <v>1481</v>
      </c>
      <c r="D1461" t="str">
        <f>HYPERLINK("https://rhld.insurance.arkansas.gov/NPILookup?Npi=1487269080","1487269080")</f>
        <v>1487269080</v>
      </c>
      <c r="E1461" t="s">
        <v>1500</v>
      </c>
      <c r="F1461" t="s">
        <v>13</v>
      </c>
      <c r="G1461" s="20">
        <v>1</v>
      </c>
      <c r="H1461" t="s">
        <v>87</v>
      </c>
      <c r="I1461" t="s">
        <v>4357</v>
      </c>
      <c r="J1461" s="9"/>
      <c r="K1461" s="9"/>
      <c r="L1461" s="9"/>
    </row>
    <row r="1462" spans="2:12" ht="15" x14ac:dyDescent="0.25">
      <c r="B1462" t="s">
        <v>1480</v>
      </c>
      <c r="C1462" t="s">
        <v>1481</v>
      </c>
      <c r="D1462" t="str">
        <f>HYPERLINK("https://rhld.insurance.arkansas.gov/NPILookup?Npi=1689237869","1689237869")</f>
        <v>1689237869</v>
      </c>
      <c r="E1462" t="s">
        <v>1503</v>
      </c>
      <c r="F1462" t="s">
        <v>13</v>
      </c>
      <c r="G1462" s="20">
        <v>1</v>
      </c>
      <c r="H1462" t="s">
        <v>87</v>
      </c>
      <c r="I1462" t="s">
        <v>4357</v>
      </c>
      <c r="J1462" s="9"/>
      <c r="K1462" s="9"/>
      <c r="L1462" s="9"/>
    </row>
    <row r="1463" spans="2:12" ht="15" x14ac:dyDescent="0.25">
      <c r="B1463" t="s">
        <v>1480</v>
      </c>
      <c r="C1463" s="21" t="s">
        <v>1481</v>
      </c>
      <c r="D1463" s="21" t="str">
        <f>HYPERLINK("https://rhld.insurance.arkansas.gov/NPILookup?Npi=1528278322","1528278322")</f>
        <v>1528278322</v>
      </c>
      <c r="E1463" s="21" t="s">
        <v>1059</v>
      </c>
      <c r="F1463" s="21" t="s">
        <v>12</v>
      </c>
      <c r="G1463" s="22">
        <v>1</v>
      </c>
      <c r="H1463" s="21" t="s">
        <v>4338</v>
      </c>
      <c r="I1463" s="21" t="s">
        <v>32</v>
      </c>
      <c r="J1463" s="9"/>
      <c r="K1463" s="9"/>
      <c r="L1463" s="9"/>
    </row>
    <row r="1464" spans="2:12" ht="15" x14ac:dyDescent="0.25">
      <c r="B1464" t="s">
        <v>1480</v>
      </c>
      <c r="C1464" s="21" t="s">
        <v>1481</v>
      </c>
      <c r="D1464" s="21" t="str">
        <f>HYPERLINK("https://rhld.insurance.arkansas.gov/NPILookup?Npi=1528440922","1528440922")</f>
        <v>1528440922</v>
      </c>
      <c r="E1464" s="21" t="s">
        <v>1501</v>
      </c>
      <c r="F1464" s="21" t="s">
        <v>12</v>
      </c>
      <c r="G1464" s="22">
        <v>1</v>
      </c>
      <c r="H1464" s="21" t="s">
        <v>139</v>
      </c>
      <c r="I1464" s="21" t="s">
        <v>32</v>
      </c>
      <c r="J1464" s="9"/>
      <c r="K1464" s="9"/>
      <c r="L1464" s="9"/>
    </row>
    <row r="1465" spans="2:12" ht="15" x14ac:dyDescent="0.25">
      <c r="B1465" t="s">
        <v>1480</v>
      </c>
      <c r="C1465" s="21" t="s">
        <v>1481</v>
      </c>
      <c r="D1465" s="21" t="str">
        <f>HYPERLINK("https://rhld.insurance.arkansas.gov/NPILookup?Npi=1548263692","1548263692")</f>
        <v>1548263692</v>
      </c>
      <c r="E1465" s="21" t="s">
        <v>1502</v>
      </c>
      <c r="F1465" s="21" t="s">
        <v>12</v>
      </c>
      <c r="G1465" s="22">
        <v>1</v>
      </c>
      <c r="H1465" s="21" t="s">
        <v>139</v>
      </c>
      <c r="I1465" s="21" t="s">
        <v>4357</v>
      </c>
      <c r="J1465" s="9"/>
      <c r="K1465" s="9"/>
      <c r="L1465" s="9"/>
    </row>
    <row r="1466" spans="2:12" ht="15" x14ac:dyDescent="0.25">
      <c r="B1466" t="s">
        <v>1480</v>
      </c>
      <c r="C1466" t="s">
        <v>1481</v>
      </c>
      <c r="D1466" t="str">
        <f>HYPERLINK("https://rhld.insurance.arkansas.gov/NPILookup?Npi=1790706505","1790706505")</f>
        <v>1790706505</v>
      </c>
      <c r="E1466" t="s">
        <v>1507</v>
      </c>
      <c r="F1466" t="s">
        <v>13</v>
      </c>
      <c r="G1466" s="20">
        <v>1</v>
      </c>
      <c r="H1466" t="s">
        <v>87</v>
      </c>
      <c r="I1466" t="s">
        <v>32</v>
      </c>
      <c r="J1466" s="9"/>
      <c r="K1466" s="9"/>
      <c r="L1466" s="9"/>
    </row>
    <row r="1467" spans="2:12" ht="15" x14ac:dyDescent="0.25">
      <c r="B1467" t="s">
        <v>1480</v>
      </c>
      <c r="C1467" s="21" t="s">
        <v>1481</v>
      </c>
      <c r="D1467" s="21" t="str">
        <f>HYPERLINK("https://rhld.insurance.arkansas.gov/NPILookup?Npi=1760470983","1760470983")</f>
        <v>1760470983</v>
      </c>
      <c r="E1467" s="21" t="s">
        <v>1504</v>
      </c>
      <c r="F1467" s="21" t="s">
        <v>12</v>
      </c>
      <c r="G1467" s="22">
        <v>1</v>
      </c>
      <c r="H1467" s="21" t="s">
        <v>4338</v>
      </c>
      <c r="I1467" s="21" t="s">
        <v>32</v>
      </c>
      <c r="J1467" s="9"/>
      <c r="K1467" s="9"/>
      <c r="L1467" s="9"/>
    </row>
    <row r="1468" spans="2:12" ht="15" x14ac:dyDescent="0.25">
      <c r="B1468" t="s">
        <v>1480</v>
      </c>
      <c r="C1468" s="21" t="s">
        <v>1481</v>
      </c>
      <c r="D1468" s="21" t="str">
        <f>HYPERLINK("https://rhld.insurance.arkansas.gov/NPILookup?Npi=1770364093","1770364093")</f>
        <v>1770364093</v>
      </c>
      <c r="E1468" s="21" t="s">
        <v>1505</v>
      </c>
      <c r="F1468" s="21" t="s">
        <v>12</v>
      </c>
      <c r="G1468" s="22">
        <v>1</v>
      </c>
      <c r="H1468" s="21" t="s">
        <v>4338</v>
      </c>
      <c r="I1468" s="21" t="s">
        <v>32</v>
      </c>
      <c r="J1468" s="9"/>
      <c r="K1468" s="9"/>
      <c r="L1468" s="9"/>
    </row>
    <row r="1469" spans="2:12" ht="15" x14ac:dyDescent="0.25">
      <c r="B1469" t="s">
        <v>1480</v>
      </c>
      <c r="C1469" s="21" t="s">
        <v>1481</v>
      </c>
      <c r="D1469" s="21" t="str">
        <f>HYPERLINK("https://rhld.insurance.arkansas.gov/NPILookup?Npi=1780224923","1780224923")</f>
        <v>1780224923</v>
      </c>
      <c r="E1469" s="21" t="s">
        <v>1506</v>
      </c>
      <c r="F1469" s="21" t="s">
        <v>12</v>
      </c>
      <c r="G1469" s="22">
        <v>1</v>
      </c>
      <c r="H1469" s="21" t="s">
        <v>4338</v>
      </c>
      <c r="I1469" s="21" t="s">
        <v>32</v>
      </c>
      <c r="J1469" s="9"/>
      <c r="K1469" s="9"/>
      <c r="L1469" s="9"/>
    </row>
    <row r="1470" spans="2:12" ht="15" x14ac:dyDescent="0.25">
      <c r="B1470" t="s">
        <v>1480</v>
      </c>
      <c r="C1470" t="s">
        <v>1481</v>
      </c>
      <c r="D1470" t="str">
        <f>HYPERLINK("https://rhld.insurance.arkansas.gov/NPILookup?Npi=1790772374","1790772374")</f>
        <v>1790772374</v>
      </c>
      <c r="E1470" t="s">
        <v>1508</v>
      </c>
      <c r="F1470" t="s">
        <v>13</v>
      </c>
      <c r="G1470" s="20">
        <v>1</v>
      </c>
      <c r="H1470" t="s">
        <v>87</v>
      </c>
      <c r="I1470" t="s">
        <v>32</v>
      </c>
      <c r="J1470" s="9"/>
      <c r="K1470" s="9"/>
      <c r="L1470" s="9"/>
    </row>
    <row r="1471" spans="2:12" ht="15" x14ac:dyDescent="0.25">
      <c r="B1471" t="s">
        <v>1480</v>
      </c>
      <c r="C1471" t="s">
        <v>1481</v>
      </c>
      <c r="D1471" t="str">
        <f>HYPERLINK("https://rhld.insurance.arkansas.gov/NPILookup?Npi=1871530386","1871530386")</f>
        <v>1871530386</v>
      </c>
      <c r="E1471" t="s">
        <v>1511</v>
      </c>
      <c r="F1471" t="s">
        <v>13</v>
      </c>
      <c r="G1471" s="20">
        <v>1</v>
      </c>
      <c r="H1471" t="s">
        <v>87</v>
      </c>
      <c r="I1471" t="s">
        <v>32</v>
      </c>
      <c r="J1471" s="9"/>
      <c r="K1471" s="9"/>
      <c r="L1471" s="9"/>
    </row>
    <row r="1472" spans="2:12" ht="15" x14ac:dyDescent="0.25">
      <c r="B1472" t="s">
        <v>1480</v>
      </c>
      <c r="C1472" s="21" t="s">
        <v>1481</v>
      </c>
      <c r="D1472" s="21" t="str">
        <f>HYPERLINK("https://rhld.insurance.arkansas.gov/NPILookup?Npi=1801589395","1801589395")</f>
        <v>1801589395</v>
      </c>
      <c r="E1472" s="21" t="s">
        <v>1509</v>
      </c>
      <c r="F1472" s="21" t="s">
        <v>12</v>
      </c>
      <c r="G1472" s="22">
        <v>1</v>
      </c>
      <c r="H1472" s="21" t="s">
        <v>4338</v>
      </c>
      <c r="I1472" s="21" t="s">
        <v>32</v>
      </c>
      <c r="J1472" s="9"/>
      <c r="K1472" s="9"/>
      <c r="L1472" s="9"/>
    </row>
    <row r="1473" spans="2:12" ht="15" x14ac:dyDescent="0.25">
      <c r="B1473" t="s">
        <v>1480</v>
      </c>
      <c r="C1473" s="21" t="s">
        <v>1481</v>
      </c>
      <c r="D1473" s="21" t="str">
        <f>HYPERLINK("https://rhld.insurance.arkansas.gov/NPILookup?Npi=1861503062","1861503062")</f>
        <v>1861503062</v>
      </c>
      <c r="E1473" s="21" t="s">
        <v>1510</v>
      </c>
      <c r="F1473" s="21" t="s">
        <v>12</v>
      </c>
      <c r="G1473" s="22">
        <v>1</v>
      </c>
      <c r="H1473" s="21" t="s">
        <v>4338</v>
      </c>
      <c r="I1473" s="21" t="s">
        <v>32</v>
      </c>
      <c r="J1473" s="9"/>
      <c r="K1473" s="9"/>
      <c r="L1473" s="9"/>
    </row>
    <row r="1474" spans="2:12" ht="15" x14ac:dyDescent="0.25">
      <c r="B1474" t="s">
        <v>1480</v>
      </c>
      <c r="C1474" t="s">
        <v>1481</v>
      </c>
      <c r="D1474" t="str">
        <f>HYPERLINK("https://rhld.insurance.arkansas.gov/NPILookup?Npi=1881663078","1881663078")</f>
        <v>1881663078</v>
      </c>
      <c r="E1474" t="s">
        <v>1512</v>
      </c>
      <c r="F1474" t="s">
        <v>13</v>
      </c>
      <c r="G1474" s="20">
        <v>1</v>
      </c>
      <c r="H1474" t="s">
        <v>87</v>
      </c>
      <c r="I1474" t="s">
        <v>32</v>
      </c>
      <c r="J1474" s="9"/>
      <c r="K1474" s="9"/>
      <c r="L1474" s="9"/>
    </row>
    <row r="1475" spans="2:12" ht="15" x14ac:dyDescent="0.25">
      <c r="B1475" t="s">
        <v>1480</v>
      </c>
      <c r="C1475" t="s">
        <v>1481</v>
      </c>
      <c r="D1475" t="str">
        <f>HYPERLINK("https://rhld.insurance.arkansas.gov/NPILookup?Npi=1922090471","1922090471")</f>
        <v>1922090471</v>
      </c>
      <c r="E1475" t="s">
        <v>1513</v>
      </c>
      <c r="F1475" t="s">
        <v>13</v>
      </c>
      <c r="G1475" s="20">
        <v>1</v>
      </c>
      <c r="H1475" t="s">
        <v>87</v>
      </c>
      <c r="I1475" t="s">
        <v>32</v>
      </c>
      <c r="J1475" s="9"/>
      <c r="K1475" s="9"/>
      <c r="L1475" s="9"/>
    </row>
    <row r="1476" spans="2:12" ht="15" x14ac:dyDescent="0.25">
      <c r="B1476" t="s">
        <v>1480</v>
      </c>
      <c r="C1476" t="s">
        <v>1481</v>
      </c>
      <c r="D1476" t="str">
        <f>HYPERLINK("https://rhld.insurance.arkansas.gov/NPILookup?Npi=1952374498","1952374498")</f>
        <v>1952374498</v>
      </c>
      <c r="E1476" t="s">
        <v>1514</v>
      </c>
      <c r="F1476" t="s">
        <v>13</v>
      </c>
      <c r="G1476" s="20">
        <v>1</v>
      </c>
      <c r="H1476" t="s">
        <v>87</v>
      </c>
      <c r="I1476" t="s">
        <v>32</v>
      </c>
      <c r="J1476" s="9"/>
      <c r="K1476" s="9"/>
      <c r="L1476" s="9"/>
    </row>
    <row r="1477" spans="2:12" ht="15" x14ac:dyDescent="0.25">
      <c r="B1477" t="s">
        <v>1480</v>
      </c>
      <c r="C1477" t="s">
        <v>1481</v>
      </c>
      <c r="D1477" t="str">
        <f>HYPERLINK("https://rhld.insurance.arkansas.gov/NPILookup?Npi=1992117089","1992117089")</f>
        <v>1992117089</v>
      </c>
      <c r="E1477" t="s">
        <v>1518</v>
      </c>
      <c r="F1477" t="s">
        <v>13</v>
      </c>
      <c r="G1477" s="20">
        <v>1</v>
      </c>
      <c r="H1477" t="s">
        <v>4357</v>
      </c>
      <c r="I1477" t="s">
        <v>4357</v>
      </c>
      <c r="J1477" s="9"/>
      <c r="K1477" s="9"/>
      <c r="L1477" s="9"/>
    </row>
    <row r="1478" spans="2:12" ht="15" x14ac:dyDescent="0.25">
      <c r="B1478" t="s">
        <v>1480</v>
      </c>
      <c r="C1478" s="21" t="s">
        <v>1481</v>
      </c>
      <c r="D1478" s="21" t="str">
        <f>HYPERLINK("https://rhld.insurance.arkansas.gov/NPILookup?Npi=1952817587","1952817587")</f>
        <v>1952817587</v>
      </c>
      <c r="E1478" s="21" t="s">
        <v>1515</v>
      </c>
      <c r="F1478" s="21" t="s">
        <v>12</v>
      </c>
      <c r="G1478" s="22">
        <v>1</v>
      </c>
      <c r="H1478" s="21" t="s">
        <v>4338</v>
      </c>
      <c r="I1478" s="21" t="s">
        <v>32</v>
      </c>
      <c r="J1478" s="9"/>
      <c r="K1478" s="9"/>
      <c r="L1478" s="9"/>
    </row>
    <row r="1479" spans="2:12" ht="15" x14ac:dyDescent="0.25">
      <c r="B1479" t="s">
        <v>1480</v>
      </c>
      <c r="C1479" s="21" t="s">
        <v>1481</v>
      </c>
      <c r="D1479" s="21" t="str">
        <f>HYPERLINK("https://rhld.insurance.arkansas.gov/NPILookup?Npi=1972584571","1972584571")</f>
        <v>1972584571</v>
      </c>
      <c r="E1479" s="21" t="s">
        <v>1516</v>
      </c>
      <c r="F1479" s="21" t="s">
        <v>12</v>
      </c>
      <c r="G1479" s="22">
        <v>1</v>
      </c>
      <c r="H1479" s="21" t="s">
        <v>4338</v>
      </c>
      <c r="I1479" s="21" t="s">
        <v>4357</v>
      </c>
      <c r="J1479" s="9"/>
      <c r="K1479" s="9"/>
      <c r="L1479" s="9"/>
    </row>
    <row r="1480" spans="2:12" ht="15" x14ac:dyDescent="0.25">
      <c r="B1480" t="s">
        <v>1480</v>
      </c>
      <c r="C1480" s="21" t="s">
        <v>1481</v>
      </c>
      <c r="D1480" s="21" t="str">
        <f>HYPERLINK("https://rhld.insurance.arkansas.gov/NPILookup?Npi=1972625853","1972625853")</f>
        <v>1972625853</v>
      </c>
      <c r="E1480" s="21" t="s">
        <v>1517</v>
      </c>
      <c r="F1480" s="21" t="s">
        <v>12</v>
      </c>
      <c r="G1480" s="22">
        <v>1</v>
      </c>
      <c r="H1480" s="21" t="s">
        <v>139</v>
      </c>
      <c r="I1480" s="21" t="s">
        <v>32</v>
      </c>
      <c r="J1480" s="9"/>
      <c r="K1480" s="9"/>
      <c r="L1480" s="9"/>
    </row>
    <row r="1481" spans="2:12" ht="15" x14ac:dyDescent="0.25">
      <c r="B1481" t="s">
        <v>30</v>
      </c>
      <c r="C1481" t="s">
        <v>31</v>
      </c>
      <c r="D1481" t="str">
        <f>HYPERLINK("https://rhld.insurance.arkansas.gov/NPILookup?Npi=1023535655","1023535655")</f>
        <v>1023535655</v>
      </c>
      <c r="E1481" t="s">
        <v>37</v>
      </c>
      <c r="F1481" t="s">
        <v>13</v>
      </c>
      <c r="G1481" s="20">
        <v>1</v>
      </c>
      <c r="H1481" t="s">
        <v>38</v>
      </c>
      <c r="I1481" t="s">
        <v>32</v>
      </c>
      <c r="J1481" s="9"/>
      <c r="K1481" s="9"/>
      <c r="L1481" s="9"/>
    </row>
    <row r="1482" spans="2:12" ht="15" x14ac:dyDescent="0.25">
      <c r="B1482" t="s">
        <v>1519</v>
      </c>
      <c r="C1482" t="s">
        <v>1520</v>
      </c>
      <c r="D1482" t="str">
        <f>HYPERLINK("https://rhld.insurance.arkansas.gov/NPILookup?Npi=1003355488","1003355488")</f>
        <v>1003355488</v>
      </c>
      <c r="E1482" t="s">
        <v>1521</v>
      </c>
      <c r="F1482" t="s">
        <v>13</v>
      </c>
      <c r="G1482" s="20">
        <v>1</v>
      </c>
      <c r="H1482" t="s">
        <v>87</v>
      </c>
      <c r="I1482" t="s">
        <v>32</v>
      </c>
      <c r="J1482" s="9"/>
      <c r="K1482" s="9"/>
      <c r="L1482" s="9"/>
    </row>
    <row r="1483" spans="2:12" ht="15" x14ac:dyDescent="0.25">
      <c r="B1483" t="s">
        <v>1519</v>
      </c>
      <c r="C1483" t="s">
        <v>1520</v>
      </c>
      <c r="D1483" t="str">
        <f>HYPERLINK("https://rhld.insurance.arkansas.gov/NPILookup?Npi=1003563032","1003563032")</f>
        <v>1003563032</v>
      </c>
      <c r="E1483" t="s">
        <v>1522</v>
      </c>
      <c r="F1483" t="s">
        <v>13</v>
      </c>
      <c r="G1483" s="20">
        <v>1</v>
      </c>
      <c r="H1483" t="s">
        <v>4357</v>
      </c>
      <c r="I1483" t="s">
        <v>4357</v>
      </c>
      <c r="J1483" s="9"/>
      <c r="K1483" s="9"/>
      <c r="L1483" s="9"/>
    </row>
    <row r="1484" spans="2:12" ht="15" x14ac:dyDescent="0.25">
      <c r="B1484" t="s">
        <v>1519</v>
      </c>
      <c r="C1484" t="s">
        <v>1520</v>
      </c>
      <c r="D1484" t="str">
        <f>HYPERLINK("https://rhld.insurance.arkansas.gov/NPILookup?Npi=1013445055","1013445055")</f>
        <v>1013445055</v>
      </c>
      <c r="E1484" t="s">
        <v>1523</v>
      </c>
      <c r="F1484" t="s">
        <v>13</v>
      </c>
      <c r="G1484" s="20">
        <v>1</v>
      </c>
      <c r="H1484" t="s">
        <v>4357</v>
      </c>
      <c r="I1484" t="s">
        <v>4357</v>
      </c>
      <c r="J1484" s="9"/>
      <c r="K1484" s="9"/>
      <c r="L1484" s="9"/>
    </row>
    <row r="1485" spans="2:12" ht="15" x14ac:dyDescent="0.25">
      <c r="B1485" t="s">
        <v>1519</v>
      </c>
      <c r="C1485" t="s">
        <v>1520</v>
      </c>
      <c r="D1485" t="str">
        <f>HYPERLINK("https://rhld.insurance.arkansas.gov/NPILookup?Npi=1013764588","1013764588")</f>
        <v>1013764588</v>
      </c>
      <c r="E1485" t="s">
        <v>1525</v>
      </c>
      <c r="F1485" t="s">
        <v>13</v>
      </c>
      <c r="G1485" s="20">
        <v>1</v>
      </c>
      <c r="H1485" t="s">
        <v>4357</v>
      </c>
      <c r="I1485" t="s">
        <v>4357</v>
      </c>
      <c r="J1485" s="9"/>
      <c r="K1485" s="9"/>
      <c r="L1485" s="9"/>
    </row>
    <row r="1486" spans="2:12" ht="15" x14ac:dyDescent="0.25">
      <c r="B1486" t="s">
        <v>1519</v>
      </c>
      <c r="C1486" t="s">
        <v>1520</v>
      </c>
      <c r="D1486" t="str">
        <f>HYPERLINK("https://rhld.insurance.arkansas.gov/NPILookup?Npi=1023322567","1023322567")</f>
        <v>1023322567</v>
      </c>
      <c r="E1486" t="s">
        <v>1526</v>
      </c>
      <c r="F1486" t="s">
        <v>12</v>
      </c>
      <c r="G1486" s="20">
        <v>1</v>
      </c>
      <c r="H1486" t="s">
        <v>4338</v>
      </c>
      <c r="I1486" t="s">
        <v>32</v>
      </c>
      <c r="J1486" s="9"/>
      <c r="K1486" s="9"/>
      <c r="L1486" s="9"/>
    </row>
    <row r="1487" spans="2:12" ht="15" x14ac:dyDescent="0.25">
      <c r="B1487" t="s">
        <v>1519</v>
      </c>
      <c r="C1487" t="s">
        <v>1520</v>
      </c>
      <c r="D1487" t="str">
        <f>HYPERLINK("https://rhld.insurance.arkansas.gov/NPILookup?Npi=1033329701","1033329701")</f>
        <v>1033329701</v>
      </c>
      <c r="E1487" t="s">
        <v>1527</v>
      </c>
      <c r="F1487" t="s">
        <v>12</v>
      </c>
      <c r="G1487" s="20">
        <v>1</v>
      </c>
      <c r="H1487" t="s">
        <v>4338</v>
      </c>
      <c r="I1487" t="s">
        <v>32</v>
      </c>
      <c r="J1487" s="9"/>
      <c r="K1487" s="9"/>
      <c r="L1487" s="9"/>
    </row>
    <row r="1488" spans="2:12" ht="15" x14ac:dyDescent="0.25">
      <c r="B1488" t="s">
        <v>1519</v>
      </c>
      <c r="C1488" t="s">
        <v>1520</v>
      </c>
      <c r="D1488" t="str">
        <f>HYPERLINK("https://rhld.insurance.arkansas.gov/NPILookup?Npi=1033461629","1033461629")</f>
        <v>1033461629</v>
      </c>
      <c r="E1488" t="s">
        <v>1528</v>
      </c>
      <c r="F1488" t="s">
        <v>13</v>
      </c>
      <c r="G1488" s="20">
        <v>1</v>
      </c>
      <c r="H1488" t="s">
        <v>4357</v>
      </c>
      <c r="I1488" t="s">
        <v>4357</v>
      </c>
      <c r="J1488" s="9"/>
      <c r="K1488" s="9"/>
      <c r="L1488" s="9"/>
    </row>
    <row r="1489" spans="2:12" ht="15" x14ac:dyDescent="0.25">
      <c r="B1489" t="s">
        <v>1519</v>
      </c>
      <c r="C1489" t="s">
        <v>1520</v>
      </c>
      <c r="D1489" t="str">
        <f>HYPERLINK("https://rhld.insurance.arkansas.gov/NPILookup?Npi=1033504956","1033504956")</f>
        <v>1033504956</v>
      </c>
      <c r="E1489" t="s">
        <v>1529</v>
      </c>
      <c r="F1489" t="s">
        <v>13</v>
      </c>
      <c r="G1489" s="20">
        <v>1</v>
      </c>
      <c r="H1489" t="s">
        <v>4357</v>
      </c>
      <c r="I1489" t="s">
        <v>4357</v>
      </c>
      <c r="J1489" s="9"/>
      <c r="K1489" s="9"/>
      <c r="L1489" s="9"/>
    </row>
    <row r="1490" spans="2:12" ht="15" x14ac:dyDescent="0.25">
      <c r="B1490" t="s">
        <v>1519</v>
      </c>
      <c r="C1490" t="s">
        <v>1520</v>
      </c>
      <c r="D1490" t="str">
        <f>HYPERLINK("https://rhld.insurance.arkansas.gov/NPILookup?Npi=1033649892","1033649892")</f>
        <v>1033649892</v>
      </c>
      <c r="E1490" t="s">
        <v>1531</v>
      </c>
      <c r="F1490" t="s">
        <v>13</v>
      </c>
      <c r="G1490" s="20">
        <v>1</v>
      </c>
      <c r="H1490" t="s">
        <v>4357</v>
      </c>
      <c r="I1490" t="s">
        <v>4357</v>
      </c>
      <c r="J1490" s="9"/>
      <c r="K1490" s="9"/>
      <c r="L1490" s="9"/>
    </row>
    <row r="1491" spans="2:12" ht="15" x14ac:dyDescent="0.25">
      <c r="B1491" t="s">
        <v>1519</v>
      </c>
      <c r="C1491" t="s">
        <v>1520</v>
      </c>
      <c r="D1491" t="str">
        <f>HYPERLINK("https://rhld.insurance.arkansas.gov/NPILookup?Npi=1033711205","1033711205")</f>
        <v>1033711205</v>
      </c>
      <c r="E1491" t="s">
        <v>1532</v>
      </c>
      <c r="F1491" t="s">
        <v>13</v>
      </c>
      <c r="G1491" s="20">
        <v>1</v>
      </c>
      <c r="H1491" t="s">
        <v>1533</v>
      </c>
      <c r="I1491" t="s">
        <v>4357</v>
      </c>
      <c r="J1491" s="9"/>
      <c r="K1491" s="9"/>
      <c r="L1491" s="9"/>
    </row>
    <row r="1492" spans="2:12" ht="15" x14ac:dyDescent="0.25">
      <c r="B1492" t="s">
        <v>1519</v>
      </c>
      <c r="C1492" t="s">
        <v>1520</v>
      </c>
      <c r="D1492" t="str">
        <f>HYPERLINK("https://rhld.insurance.arkansas.gov/NPILookup?Npi=1043699929","1043699929")</f>
        <v>1043699929</v>
      </c>
      <c r="E1492" t="s">
        <v>1536</v>
      </c>
      <c r="F1492" t="s">
        <v>12</v>
      </c>
      <c r="G1492" s="20">
        <v>1</v>
      </c>
      <c r="H1492" t="s">
        <v>4338</v>
      </c>
      <c r="I1492" t="s">
        <v>32</v>
      </c>
      <c r="J1492" s="9"/>
      <c r="K1492" s="9"/>
      <c r="L1492" s="9"/>
    </row>
    <row r="1493" spans="2:12" ht="15" x14ac:dyDescent="0.25">
      <c r="B1493" t="s">
        <v>1519</v>
      </c>
      <c r="C1493" t="s">
        <v>1520</v>
      </c>
      <c r="D1493" t="str">
        <f>HYPERLINK("https://rhld.insurance.arkansas.gov/NPILookup?Npi=1043821598","1043821598")</f>
        <v>1043821598</v>
      </c>
      <c r="E1493" t="s">
        <v>1537</v>
      </c>
      <c r="F1493" t="s">
        <v>13</v>
      </c>
      <c r="G1493" s="20">
        <v>1</v>
      </c>
      <c r="H1493" t="s">
        <v>4357</v>
      </c>
      <c r="I1493" t="s">
        <v>4357</v>
      </c>
      <c r="J1493" s="9"/>
      <c r="K1493" s="9"/>
      <c r="L1493" s="9"/>
    </row>
    <row r="1494" spans="2:12" ht="15" x14ac:dyDescent="0.25">
      <c r="B1494" t="s">
        <v>1519</v>
      </c>
      <c r="C1494" t="s">
        <v>1520</v>
      </c>
      <c r="D1494" t="str">
        <f>HYPERLINK("https://rhld.insurance.arkansas.gov/NPILookup?Npi=1043886393","1043886393")</f>
        <v>1043886393</v>
      </c>
      <c r="E1494" t="s">
        <v>1538</v>
      </c>
      <c r="F1494" t="s">
        <v>13</v>
      </c>
      <c r="G1494" s="20">
        <v>1</v>
      </c>
      <c r="H1494" t="s">
        <v>4357</v>
      </c>
      <c r="I1494" t="s">
        <v>4357</v>
      </c>
      <c r="J1494" s="9"/>
      <c r="K1494" s="9"/>
      <c r="L1494" s="9"/>
    </row>
    <row r="1495" spans="2:12" ht="15" x14ac:dyDescent="0.25">
      <c r="B1495" t="s">
        <v>1519</v>
      </c>
      <c r="C1495" t="s">
        <v>1520</v>
      </c>
      <c r="D1495" t="str">
        <f>HYPERLINK("https://rhld.insurance.arkansas.gov/NPILookup?Npi=1043941867","1043941867")</f>
        <v>1043941867</v>
      </c>
      <c r="E1495" t="s">
        <v>1539</v>
      </c>
      <c r="F1495" t="s">
        <v>13</v>
      </c>
      <c r="G1495" s="20">
        <v>1</v>
      </c>
      <c r="H1495" t="s">
        <v>1533</v>
      </c>
      <c r="I1495" t="s">
        <v>4357</v>
      </c>
      <c r="J1495" s="9"/>
      <c r="K1495" s="9"/>
      <c r="L1495" s="9"/>
    </row>
    <row r="1496" spans="2:12" ht="15" x14ac:dyDescent="0.25">
      <c r="B1496" t="s">
        <v>1519</v>
      </c>
      <c r="C1496" t="s">
        <v>1520</v>
      </c>
      <c r="D1496" t="str">
        <f>HYPERLINK("https://rhld.insurance.arkansas.gov/NPILookup?Npi=1053843631","1053843631")</f>
        <v>1053843631</v>
      </c>
      <c r="E1496" t="s">
        <v>1540</v>
      </c>
      <c r="F1496" t="s">
        <v>12</v>
      </c>
      <c r="G1496" s="20">
        <v>1</v>
      </c>
      <c r="H1496" t="s">
        <v>4338</v>
      </c>
      <c r="I1496" t="s">
        <v>32</v>
      </c>
      <c r="J1496" s="9"/>
      <c r="K1496" s="9"/>
      <c r="L1496" s="9"/>
    </row>
    <row r="1497" spans="2:12" ht="15" x14ac:dyDescent="0.25">
      <c r="B1497" t="s">
        <v>1519</v>
      </c>
      <c r="C1497" t="s">
        <v>1520</v>
      </c>
      <c r="D1497" t="str">
        <f>HYPERLINK("https://rhld.insurance.arkansas.gov/NPILookup?Npi=1063069326","1063069326")</f>
        <v>1063069326</v>
      </c>
      <c r="E1497" t="s">
        <v>1541</v>
      </c>
      <c r="F1497" t="s">
        <v>12</v>
      </c>
      <c r="G1497" s="20">
        <v>1</v>
      </c>
      <c r="H1497" t="s">
        <v>4338</v>
      </c>
      <c r="I1497" t="s">
        <v>32</v>
      </c>
      <c r="J1497" s="9"/>
      <c r="K1497" s="9"/>
      <c r="L1497" s="9"/>
    </row>
    <row r="1498" spans="2:12" ht="15" x14ac:dyDescent="0.25">
      <c r="B1498" t="s">
        <v>1519</v>
      </c>
      <c r="C1498" t="s">
        <v>1520</v>
      </c>
      <c r="D1498" t="str">
        <f>HYPERLINK("https://rhld.insurance.arkansas.gov/NPILookup?Npi=1063210011","1063210011")</f>
        <v>1063210011</v>
      </c>
      <c r="E1498" t="s">
        <v>1542</v>
      </c>
      <c r="F1498" t="s">
        <v>13</v>
      </c>
      <c r="G1498" s="20">
        <v>1</v>
      </c>
      <c r="H1498" t="s">
        <v>4357</v>
      </c>
      <c r="I1498" t="s">
        <v>4357</v>
      </c>
      <c r="J1498" s="9"/>
      <c r="K1498" s="9"/>
      <c r="L1498" s="9"/>
    </row>
    <row r="1499" spans="2:12" ht="15" x14ac:dyDescent="0.25">
      <c r="B1499" t="s">
        <v>1519</v>
      </c>
      <c r="C1499" t="s">
        <v>1520</v>
      </c>
      <c r="D1499" t="str">
        <f>HYPERLINK("https://rhld.insurance.arkansas.gov/NPILookup?Npi=1063748101","1063748101")</f>
        <v>1063748101</v>
      </c>
      <c r="E1499" t="s">
        <v>1543</v>
      </c>
      <c r="F1499" t="s">
        <v>12</v>
      </c>
      <c r="G1499" s="20">
        <v>1</v>
      </c>
      <c r="H1499" t="s">
        <v>4338</v>
      </c>
      <c r="I1499" t="s">
        <v>32</v>
      </c>
      <c r="J1499" s="9"/>
      <c r="K1499" s="9"/>
      <c r="L1499" s="9"/>
    </row>
    <row r="1500" spans="2:12" ht="15" x14ac:dyDescent="0.25">
      <c r="B1500" t="s">
        <v>1519</v>
      </c>
      <c r="C1500" t="s">
        <v>1520</v>
      </c>
      <c r="D1500" t="str">
        <f>HYPERLINK("https://rhld.insurance.arkansas.gov/NPILookup?Npi=1073019873","1073019873")</f>
        <v>1073019873</v>
      </c>
      <c r="E1500" t="s">
        <v>1544</v>
      </c>
      <c r="F1500" t="s">
        <v>12</v>
      </c>
      <c r="G1500" s="20">
        <v>1</v>
      </c>
      <c r="H1500" t="s">
        <v>4338</v>
      </c>
      <c r="I1500" t="s">
        <v>32</v>
      </c>
      <c r="J1500" s="9"/>
      <c r="K1500" s="9"/>
      <c r="L1500" s="9"/>
    </row>
    <row r="1501" spans="2:12" ht="15" x14ac:dyDescent="0.25">
      <c r="B1501" t="s">
        <v>1519</v>
      </c>
      <c r="C1501" t="s">
        <v>1520</v>
      </c>
      <c r="D1501" t="str">
        <f>HYPERLINK("https://rhld.insurance.arkansas.gov/NPILookup?Npi=1073072583","1073072583")</f>
        <v>1073072583</v>
      </c>
      <c r="E1501" t="s">
        <v>1545</v>
      </c>
      <c r="F1501" t="s">
        <v>13</v>
      </c>
      <c r="G1501" s="20">
        <v>1</v>
      </c>
      <c r="H1501" t="s">
        <v>4357</v>
      </c>
      <c r="I1501" t="s">
        <v>4357</v>
      </c>
      <c r="J1501" s="9"/>
      <c r="K1501" s="9"/>
      <c r="L1501" s="9"/>
    </row>
    <row r="1502" spans="2:12" ht="15" x14ac:dyDescent="0.25">
      <c r="B1502" t="s">
        <v>1519</v>
      </c>
      <c r="C1502" t="s">
        <v>1520</v>
      </c>
      <c r="D1502" t="str">
        <f>HYPERLINK("https://rhld.insurance.arkansas.gov/NPILookup?Npi=1073184727","1073184727")</f>
        <v>1073184727</v>
      </c>
      <c r="E1502" t="s">
        <v>1546</v>
      </c>
      <c r="F1502" t="s">
        <v>12</v>
      </c>
      <c r="G1502" s="20">
        <v>2</v>
      </c>
      <c r="H1502" t="s">
        <v>4345</v>
      </c>
      <c r="I1502" t="s">
        <v>32</v>
      </c>
      <c r="J1502" s="9"/>
      <c r="K1502" s="9"/>
      <c r="L1502" s="9"/>
    </row>
    <row r="1503" spans="2:12" ht="15" x14ac:dyDescent="0.25">
      <c r="B1503" t="s">
        <v>1519</v>
      </c>
      <c r="C1503" t="s">
        <v>1520</v>
      </c>
      <c r="D1503" t="str">
        <f>HYPERLINK("https://rhld.insurance.arkansas.gov/NPILookup?Npi=1073247433","1073247433")</f>
        <v>1073247433</v>
      </c>
      <c r="E1503" t="s">
        <v>1547</v>
      </c>
      <c r="F1503" t="s">
        <v>13</v>
      </c>
      <c r="G1503" s="20">
        <v>2</v>
      </c>
      <c r="H1503" t="s">
        <v>1548</v>
      </c>
      <c r="I1503" t="s">
        <v>4357</v>
      </c>
      <c r="J1503" s="9"/>
      <c r="K1503" s="9"/>
      <c r="L1503" s="9"/>
    </row>
    <row r="1504" spans="2:12" ht="15" x14ac:dyDescent="0.25">
      <c r="B1504" t="s">
        <v>1519</v>
      </c>
      <c r="C1504" t="s">
        <v>1520</v>
      </c>
      <c r="D1504" t="str">
        <f>HYPERLINK("https://rhld.insurance.arkansas.gov/NPILookup?Npi=1073745212","1073745212")</f>
        <v>1073745212</v>
      </c>
      <c r="E1504" t="s">
        <v>1549</v>
      </c>
      <c r="F1504" t="s">
        <v>13</v>
      </c>
      <c r="G1504" s="20">
        <v>1</v>
      </c>
      <c r="H1504" t="s">
        <v>1533</v>
      </c>
      <c r="I1504" t="s">
        <v>32</v>
      </c>
      <c r="J1504" s="9"/>
      <c r="K1504" s="9"/>
      <c r="L1504" s="9"/>
    </row>
    <row r="1505" spans="2:12" ht="15" x14ac:dyDescent="0.25">
      <c r="B1505" t="s">
        <v>1519</v>
      </c>
      <c r="C1505" t="s">
        <v>1520</v>
      </c>
      <c r="D1505" t="str">
        <f>HYPERLINK("https://rhld.insurance.arkansas.gov/NPILookup?Npi=1073957254","1073957254")</f>
        <v>1073957254</v>
      </c>
      <c r="E1505" t="s">
        <v>1198</v>
      </c>
      <c r="F1505" t="s">
        <v>12</v>
      </c>
      <c r="G1505" s="20">
        <v>1</v>
      </c>
      <c r="H1505" t="s">
        <v>4338</v>
      </c>
      <c r="I1505" t="s">
        <v>32</v>
      </c>
      <c r="J1505" s="9"/>
      <c r="K1505" s="9"/>
      <c r="L1505" s="9"/>
    </row>
    <row r="1506" spans="2:12" ht="15" x14ac:dyDescent="0.25">
      <c r="B1506" t="s">
        <v>1519</v>
      </c>
      <c r="C1506" t="s">
        <v>1520</v>
      </c>
      <c r="D1506" t="str">
        <f>HYPERLINK("https://rhld.insurance.arkansas.gov/NPILookup?Npi=1083344378","1083344378")</f>
        <v>1083344378</v>
      </c>
      <c r="E1506" t="s">
        <v>1551</v>
      </c>
      <c r="F1506" t="s">
        <v>13</v>
      </c>
      <c r="G1506" s="20">
        <v>1</v>
      </c>
      <c r="H1506" t="s">
        <v>4357</v>
      </c>
      <c r="I1506" t="s">
        <v>4357</v>
      </c>
      <c r="J1506" s="9"/>
      <c r="K1506" s="9"/>
      <c r="L1506" s="9"/>
    </row>
    <row r="1507" spans="2:12" ht="15" x14ac:dyDescent="0.25">
      <c r="B1507" t="s">
        <v>1519</v>
      </c>
      <c r="C1507" t="s">
        <v>1520</v>
      </c>
      <c r="D1507" t="str">
        <f>HYPERLINK("https://rhld.insurance.arkansas.gov/NPILookup?Npi=1083675441","1083675441")</f>
        <v>1083675441</v>
      </c>
      <c r="E1507" t="s">
        <v>1552</v>
      </c>
      <c r="F1507" t="s">
        <v>12</v>
      </c>
      <c r="G1507" s="20">
        <v>1</v>
      </c>
      <c r="H1507" t="s">
        <v>4338</v>
      </c>
      <c r="I1507" t="s">
        <v>32</v>
      </c>
      <c r="J1507" s="9"/>
      <c r="K1507" s="9"/>
      <c r="L1507" s="9"/>
    </row>
    <row r="1508" spans="2:12" ht="15" x14ac:dyDescent="0.25">
      <c r="B1508" t="s">
        <v>1519</v>
      </c>
      <c r="C1508" t="s">
        <v>1520</v>
      </c>
      <c r="D1508" t="str">
        <f>HYPERLINK("https://rhld.insurance.arkansas.gov/NPILookup?Npi=1083858427","1083858427")</f>
        <v>1083858427</v>
      </c>
      <c r="E1508" t="s">
        <v>1553</v>
      </c>
      <c r="F1508" t="s">
        <v>12</v>
      </c>
      <c r="G1508" s="20">
        <v>1</v>
      </c>
      <c r="H1508" t="s">
        <v>4338</v>
      </c>
      <c r="I1508" t="s">
        <v>32</v>
      </c>
      <c r="J1508" s="9"/>
      <c r="K1508" s="9"/>
      <c r="L1508" s="9"/>
    </row>
    <row r="1509" spans="2:12" ht="15" x14ac:dyDescent="0.25">
      <c r="B1509" t="s">
        <v>1519</v>
      </c>
      <c r="C1509" t="s">
        <v>1520</v>
      </c>
      <c r="D1509" t="str">
        <f>HYPERLINK("https://rhld.insurance.arkansas.gov/NPILookup?Npi=1093550741","1093550741")</f>
        <v>1093550741</v>
      </c>
      <c r="E1509" t="s">
        <v>1554</v>
      </c>
      <c r="F1509" t="s">
        <v>13</v>
      </c>
      <c r="G1509" s="20">
        <v>1</v>
      </c>
      <c r="H1509" t="s">
        <v>87</v>
      </c>
      <c r="I1509" t="s">
        <v>4357</v>
      </c>
      <c r="J1509" s="9"/>
      <c r="K1509" s="9"/>
      <c r="L1509" s="9"/>
    </row>
    <row r="1510" spans="2:12" ht="15" x14ac:dyDescent="0.25">
      <c r="B1510" t="s">
        <v>1519</v>
      </c>
      <c r="C1510" t="s">
        <v>1520</v>
      </c>
      <c r="D1510" t="str">
        <f>HYPERLINK("https://rhld.insurance.arkansas.gov/NPILookup?Npi=1104209329","1104209329")</f>
        <v>1104209329</v>
      </c>
      <c r="E1510" t="s">
        <v>1556</v>
      </c>
      <c r="F1510" t="s">
        <v>13</v>
      </c>
      <c r="G1510" s="20">
        <v>1</v>
      </c>
      <c r="H1510" t="s">
        <v>4357</v>
      </c>
      <c r="I1510" t="s">
        <v>4357</v>
      </c>
      <c r="J1510" s="9"/>
      <c r="K1510" s="9"/>
      <c r="L1510" s="9"/>
    </row>
    <row r="1511" spans="2:12" ht="15" x14ac:dyDescent="0.25">
      <c r="B1511" t="s">
        <v>1519</v>
      </c>
      <c r="C1511" t="s">
        <v>1520</v>
      </c>
      <c r="D1511" t="str">
        <f>HYPERLINK("https://rhld.insurance.arkansas.gov/NPILookup?Npi=1104312420","1104312420")</f>
        <v>1104312420</v>
      </c>
      <c r="E1511" t="s">
        <v>1557</v>
      </c>
      <c r="F1511" t="s">
        <v>12</v>
      </c>
      <c r="G1511" s="20">
        <v>1</v>
      </c>
      <c r="H1511" t="s">
        <v>4338</v>
      </c>
      <c r="I1511" t="s">
        <v>32</v>
      </c>
      <c r="J1511" s="9"/>
      <c r="K1511" s="9"/>
      <c r="L1511" s="9"/>
    </row>
    <row r="1512" spans="2:12" ht="15" x14ac:dyDescent="0.25">
      <c r="B1512" t="s">
        <v>1519</v>
      </c>
      <c r="C1512" t="s">
        <v>1520</v>
      </c>
      <c r="D1512" t="str">
        <f>HYPERLINK("https://rhld.insurance.arkansas.gov/NPILookup?Npi=1104419621","1104419621")</f>
        <v>1104419621</v>
      </c>
      <c r="E1512" t="s">
        <v>1558</v>
      </c>
      <c r="F1512" t="s">
        <v>13</v>
      </c>
      <c r="G1512" s="20">
        <v>1</v>
      </c>
      <c r="H1512" t="s">
        <v>4357</v>
      </c>
      <c r="I1512" t="s">
        <v>4357</v>
      </c>
      <c r="J1512" s="9"/>
      <c r="K1512" s="9"/>
      <c r="L1512" s="9"/>
    </row>
    <row r="1513" spans="2:12" ht="15" x14ac:dyDescent="0.25">
      <c r="B1513" t="s">
        <v>1519</v>
      </c>
      <c r="C1513" t="s">
        <v>1520</v>
      </c>
      <c r="D1513" t="str">
        <f>HYPERLINK("https://rhld.insurance.arkansas.gov/NPILookup?Npi=1114523313","1114523313")</f>
        <v>1114523313</v>
      </c>
      <c r="E1513" t="s">
        <v>1559</v>
      </c>
      <c r="F1513" t="s">
        <v>13</v>
      </c>
      <c r="G1513" s="20">
        <v>1</v>
      </c>
      <c r="H1513" t="s">
        <v>4357</v>
      </c>
      <c r="I1513" t="s">
        <v>4357</v>
      </c>
      <c r="J1513" s="9"/>
      <c r="K1513" s="9"/>
      <c r="L1513" s="9"/>
    </row>
    <row r="1514" spans="2:12" ht="15" x14ac:dyDescent="0.25">
      <c r="B1514" t="s">
        <v>1519</v>
      </c>
      <c r="C1514" t="s">
        <v>1520</v>
      </c>
      <c r="D1514" t="str">
        <f>HYPERLINK("https://rhld.insurance.arkansas.gov/NPILookup?Npi=1114556958","1114556958")</f>
        <v>1114556958</v>
      </c>
      <c r="E1514" t="s">
        <v>1560</v>
      </c>
      <c r="F1514" t="s">
        <v>13</v>
      </c>
      <c r="G1514" s="20">
        <v>1</v>
      </c>
      <c r="H1514" t="s">
        <v>4357</v>
      </c>
      <c r="I1514" t="s">
        <v>4357</v>
      </c>
      <c r="J1514" s="9"/>
      <c r="K1514" s="9"/>
      <c r="L1514" s="9"/>
    </row>
    <row r="1515" spans="2:12" ht="15" x14ac:dyDescent="0.25">
      <c r="B1515" t="s">
        <v>1519</v>
      </c>
      <c r="C1515" t="s">
        <v>1520</v>
      </c>
      <c r="D1515" t="str">
        <f>HYPERLINK("https://rhld.insurance.arkansas.gov/NPILookup?Npi=1114995198","1114995198")</f>
        <v>1114995198</v>
      </c>
      <c r="E1515" t="s">
        <v>1563</v>
      </c>
      <c r="F1515" t="s">
        <v>12</v>
      </c>
      <c r="G1515" s="20">
        <v>1</v>
      </c>
      <c r="H1515" t="s">
        <v>4338</v>
      </c>
      <c r="I1515" t="s">
        <v>32</v>
      </c>
      <c r="J1515" s="9"/>
      <c r="K1515" s="9"/>
      <c r="L1515" s="9"/>
    </row>
    <row r="1516" spans="2:12" ht="15" x14ac:dyDescent="0.25">
      <c r="B1516" t="s">
        <v>1519</v>
      </c>
      <c r="C1516" t="s">
        <v>1520</v>
      </c>
      <c r="D1516" t="str">
        <f>HYPERLINK("https://rhld.insurance.arkansas.gov/NPILookup?Npi=1124268065","1124268065")</f>
        <v>1124268065</v>
      </c>
      <c r="E1516" t="s">
        <v>1564</v>
      </c>
      <c r="F1516" t="s">
        <v>13</v>
      </c>
      <c r="G1516" s="20">
        <v>1</v>
      </c>
      <c r="H1516" t="s">
        <v>4357</v>
      </c>
      <c r="I1516" t="s">
        <v>4357</v>
      </c>
      <c r="J1516" s="9"/>
      <c r="K1516" s="9"/>
      <c r="L1516" s="9"/>
    </row>
    <row r="1517" spans="2:12" ht="15" x14ac:dyDescent="0.25">
      <c r="B1517" t="s">
        <v>1519</v>
      </c>
      <c r="C1517" t="s">
        <v>1520</v>
      </c>
      <c r="D1517" t="str">
        <f>HYPERLINK("https://rhld.insurance.arkansas.gov/NPILookup?Npi=1124611439","1124611439")</f>
        <v>1124611439</v>
      </c>
      <c r="E1517" t="s">
        <v>1565</v>
      </c>
      <c r="F1517" t="s">
        <v>12</v>
      </c>
      <c r="G1517" s="20">
        <v>1</v>
      </c>
      <c r="H1517" t="s">
        <v>4338</v>
      </c>
      <c r="I1517" t="s">
        <v>32</v>
      </c>
      <c r="J1517" s="9"/>
      <c r="K1517" s="9"/>
      <c r="L1517" s="9"/>
    </row>
    <row r="1518" spans="2:12" ht="15" x14ac:dyDescent="0.25">
      <c r="B1518" t="s">
        <v>1519</v>
      </c>
      <c r="C1518" t="s">
        <v>1520</v>
      </c>
      <c r="D1518" t="str">
        <f>HYPERLINK("https://rhld.insurance.arkansas.gov/NPILookup?Npi=1124725452","1124725452")</f>
        <v>1124725452</v>
      </c>
      <c r="E1518" t="s">
        <v>1566</v>
      </c>
      <c r="F1518" t="s">
        <v>13</v>
      </c>
      <c r="G1518" s="20">
        <v>1</v>
      </c>
      <c r="H1518" t="s">
        <v>1533</v>
      </c>
      <c r="I1518" t="s">
        <v>4357</v>
      </c>
      <c r="J1518" s="9"/>
      <c r="K1518" s="9"/>
      <c r="L1518" s="9"/>
    </row>
    <row r="1519" spans="2:12" ht="15" x14ac:dyDescent="0.25">
      <c r="B1519" t="s">
        <v>1519</v>
      </c>
      <c r="C1519" t="s">
        <v>1520</v>
      </c>
      <c r="D1519" t="str">
        <f>HYPERLINK("https://rhld.insurance.arkansas.gov/NPILookup?Npi=1134212947","1134212947")</f>
        <v>1134212947</v>
      </c>
      <c r="E1519" t="s">
        <v>1567</v>
      </c>
      <c r="F1519" t="s">
        <v>12</v>
      </c>
      <c r="G1519" s="20">
        <v>1</v>
      </c>
      <c r="H1519" t="s">
        <v>4338</v>
      </c>
      <c r="I1519" t="s">
        <v>32</v>
      </c>
      <c r="J1519" s="9"/>
      <c r="K1519" s="9"/>
      <c r="L1519" s="9"/>
    </row>
    <row r="1520" spans="2:12" ht="15" x14ac:dyDescent="0.25">
      <c r="B1520" t="s">
        <v>1519</v>
      </c>
      <c r="C1520" t="s">
        <v>1520</v>
      </c>
      <c r="D1520" t="str">
        <f>HYPERLINK("https://rhld.insurance.arkansas.gov/NPILookup?Npi=1134233745","1134233745")</f>
        <v>1134233745</v>
      </c>
      <c r="E1520" t="s">
        <v>1568</v>
      </c>
      <c r="F1520" t="s">
        <v>12</v>
      </c>
      <c r="G1520" s="20">
        <v>1</v>
      </c>
      <c r="H1520" t="s">
        <v>4338</v>
      </c>
      <c r="I1520" t="s">
        <v>4357</v>
      </c>
      <c r="J1520" s="9"/>
      <c r="K1520" s="9"/>
      <c r="L1520" s="9"/>
    </row>
    <row r="1521" spans="2:12" ht="15" x14ac:dyDescent="0.25">
      <c r="B1521" t="s">
        <v>1519</v>
      </c>
      <c r="C1521" t="s">
        <v>1520</v>
      </c>
      <c r="D1521" t="str">
        <f>HYPERLINK("https://rhld.insurance.arkansas.gov/NPILookup?Npi=1134626583","1134626583")</f>
        <v>1134626583</v>
      </c>
      <c r="E1521" t="s">
        <v>1205</v>
      </c>
      <c r="F1521" t="s">
        <v>12</v>
      </c>
      <c r="G1521" s="20">
        <v>1</v>
      </c>
      <c r="H1521" t="s">
        <v>4338</v>
      </c>
      <c r="I1521" t="s">
        <v>32</v>
      </c>
      <c r="J1521" s="9"/>
      <c r="K1521" s="9"/>
      <c r="L1521" s="9"/>
    </row>
    <row r="1522" spans="2:12" ht="15" x14ac:dyDescent="0.25">
      <c r="B1522" t="s">
        <v>1519</v>
      </c>
      <c r="C1522" t="s">
        <v>1520</v>
      </c>
      <c r="D1522" t="str">
        <f>HYPERLINK("https://rhld.insurance.arkansas.gov/NPILookup?Npi=1144424573","1144424573")</f>
        <v>1144424573</v>
      </c>
      <c r="E1522" t="s">
        <v>1570</v>
      </c>
      <c r="F1522" t="s">
        <v>12</v>
      </c>
      <c r="G1522" s="20">
        <v>1</v>
      </c>
      <c r="H1522" t="s">
        <v>4338</v>
      </c>
      <c r="I1522" t="s">
        <v>32</v>
      </c>
      <c r="J1522" s="9"/>
      <c r="K1522" s="9"/>
      <c r="L1522" s="9"/>
    </row>
    <row r="1523" spans="2:12" ht="15" x14ac:dyDescent="0.25">
      <c r="B1523" t="s">
        <v>1519</v>
      </c>
      <c r="C1523" t="s">
        <v>1520</v>
      </c>
      <c r="D1523" t="str">
        <f>HYPERLINK("https://rhld.insurance.arkansas.gov/NPILookup?Npi=1144932872","1144932872")</f>
        <v>1144932872</v>
      </c>
      <c r="E1523" t="s">
        <v>1571</v>
      </c>
      <c r="F1523" t="s">
        <v>13</v>
      </c>
      <c r="G1523" s="20">
        <v>1</v>
      </c>
      <c r="H1523" t="s">
        <v>1533</v>
      </c>
      <c r="I1523" t="s">
        <v>4357</v>
      </c>
      <c r="J1523" s="9"/>
      <c r="K1523" s="9"/>
      <c r="L1523" s="9"/>
    </row>
    <row r="1524" spans="2:12" ht="15" x14ac:dyDescent="0.25">
      <c r="B1524" t="s">
        <v>1519</v>
      </c>
      <c r="C1524" t="s">
        <v>1520</v>
      </c>
      <c r="D1524" t="str">
        <f>HYPERLINK("https://rhld.insurance.arkansas.gov/NPILookup?Npi=1144990219","1144990219")</f>
        <v>1144990219</v>
      </c>
      <c r="E1524" t="s">
        <v>1572</v>
      </c>
      <c r="F1524" t="s">
        <v>13</v>
      </c>
      <c r="G1524" s="20">
        <v>1</v>
      </c>
      <c r="H1524" t="s">
        <v>1533</v>
      </c>
      <c r="I1524" t="s">
        <v>4357</v>
      </c>
      <c r="J1524" s="9"/>
      <c r="K1524" s="9"/>
      <c r="L1524" s="9"/>
    </row>
    <row r="1525" spans="2:12" ht="15" x14ac:dyDescent="0.25">
      <c r="B1525" t="s">
        <v>1519</v>
      </c>
      <c r="C1525" t="s">
        <v>1520</v>
      </c>
      <c r="D1525" t="str">
        <f>HYPERLINK("https://rhld.insurance.arkansas.gov/NPILookup?Npi=1154070803","1154070803")</f>
        <v>1154070803</v>
      </c>
      <c r="E1525" t="s">
        <v>1573</v>
      </c>
      <c r="F1525" t="s">
        <v>13</v>
      </c>
      <c r="G1525" s="20">
        <v>1</v>
      </c>
      <c r="H1525" t="s">
        <v>4357</v>
      </c>
      <c r="I1525" t="s">
        <v>4357</v>
      </c>
      <c r="J1525" s="9"/>
      <c r="K1525" s="9"/>
      <c r="L1525" s="9"/>
    </row>
    <row r="1526" spans="2:12" ht="15" x14ac:dyDescent="0.25">
      <c r="B1526" t="s">
        <v>1519</v>
      </c>
      <c r="C1526" t="s">
        <v>1520</v>
      </c>
      <c r="D1526" t="str">
        <f>HYPERLINK("https://rhld.insurance.arkansas.gov/NPILookup?Npi=1154129427","1154129427")</f>
        <v>1154129427</v>
      </c>
      <c r="E1526" t="s">
        <v>1574</v>
      </c>
      <c r="F1526" t="s">
        <v>13</v>
      </c>
      <c r="G1526" s="20">
        <v>1</v>
      </c>
      <c r="H1526" t="s">
        <v>1533</v>
      </c>
      <c r="I1526" t="s">
        <v>4357</v>
      </c>
      <c r="J1526" s="9"/>
      <c r="K1526" s="9"/>
      <c r="L1526" s="9"/>
    </row>
    <row r="1527" spans="2:12" ht="15" x14ac:dyDescent="0.25">
      <c r="B1527" t="s">
        <v>1519</v>
      </c>
      <c r="C1527" t="s">
        <v>1520</v>
      </c>
      <c r="D1527" t="str">
        <f>HYPERLINK("https://rhld.insurance.arkansas.gov/NPILookup?Npi=1154141026","1154141026")</f>
        <v>1154141026</v>
      </c>
      <c r="E1527" t="s">
        <v>1575</v>
      </c>
      <c r="F1527" t="s">
        <v>13</v>
      </c>
      <c r="G1527" s="20">
        <v>1</v>
      </c>
      <c r="H1527" t="s">
        <v>4357</v>
      </c>
      <c r="I1527" t="s">
        <v>4357</v>
      </c>
      <c r="J1527" s="9"/>
      <c r="K1527" s="9"/>
      <c r="L1527" s="9"/>
    </row>
    <row r="1528" spans="2:12" ht="15" x14ac:dyDescent="0.25">
      <c r="B1528" t="s">
        <v>1519</v>
      </c>
      <c r="C1528" t="s">
        <v>1520</v>
      </c>
      <c r="D1528" t="str">
        <f>HYPERLINK("https://rhld.insurance.arkansas.gov/NPILookup?Npi=1154158699","1154158699")</f>
        <v>1154158699</v>
      </c>
      <c r="E1528" t="s">
        <v>1576</v>
      </c>
      <c r="F1528" t="s">
        <v>13</v>
      </c>
      <c r="G1528" s="20">
        <v>1</v>
      </c>
      <c r="H1528" t="s">
        <v>87</v>
      </c>
      <c r="I1528" t="s">
        <v>4357</v>
      </c>
      <c r="J1528" s="9"/>
      <c r="K1528" s="9"/>
      <c r="L1528" s="9"/>
    </row>
    <row r="1529" spans="2:12" ht="15" x14ac:dyDescent="0.25">
      <c r="B1529" t="s">
        <v>1519</v>
      </c>
      <c r="C1529" t="s">
        <v>1520</v>
      </c>
      <c r="D1529" t="str">
        <f>HYPERLINK("https://rhld.insurance.arkansas.gov/NPILookup?Npi=1154158764","1154158764")</f>
        <v>1154158764</v>
      </c>
      <c r="E1529" t="s">
        <v>1577</v>
      </c>
      <c r="F1529" t="s">
        <v>13</v>
      </c>
      <c r="G1529" s="20">
        <v>2</v>
      </c>
      <c r="H1529" t="s">
        <v>1548</v>
      </c>
      <c r="I1529" t="s">
        <v>4357</v>
      </c>
      <c r="J1529" s="9"/>
      <c r="K1529" s="9"/>
      <c r="L1529" s="9"/>
    </row>
    <row r="1530" spans="2:12" ht="15" x14ac:dyDescent="0.25">
      <c r="B1530" t="s">
        <v>1519</v>
      </c>
      <c r="C1530" t="s">
        <v>1520</v>
      </c>
      <c r="D1530" t="str">
        <f>HYPERLINK("https://rhld.insurance.arkansas.gov/NPILookup?Npi=1154382992","1154382992")</f>
        <v>1154382992</v>
      </c>
      <c r="E1530" t="s">
        <v>1578</v>
      </c>
      <c r="F1530" t="s">
        <v>12</v>
      </c>
      <c r="G1530" s="20">
        <v>1</v>
      </c>
      <c r="H1530" t="s">
        <v>4338</v>
      </c>
      <c r="I1530" t="s">
        <v>32</v>
      </c>
      <c r="J1530" s="9"/>
      <c r="K1530" s="9"/>
      <c r="L1530" s="9"/>
    </row>
    <row r="1531" spans="2:12" ht="15" x14ac:dyDescent="0.25">
      <c r="B1531" t="s">
        <v>1519</v>
      </c>
      <c r="C1531" t="s">
        <v>1520</v>
      </c>
      <c r="D1531" t="str">
        <f>HYPERLINK("https://rhld.insurance.arkansas.gov/NPILookup?Npi=1154959161","1154959161")</f>
        <v>1154959161</v>
      </c>
      <c r="E1531" t="s">
        <v>1580</v>
      </c>
      <c r="F1531" t="s">
        <v>13</v>
      </c>
      <c r="G1531" s="20">
        <v>1</v>
      </c>
      <c r="H1531" t="s">
        <v>4357</v>
      </c>
      <c r="I1531" t="s">
        <v>4357</v>
      </c>
      <c r="J1531" s="9"/>
      <c r="K1531" s="9"/>
      <c r="L1531" s="9"/>
    </row>
    <row r="1532" spans="2:12" ht="15" x14ac:dyDescent="0.25">
      <c r="B1532" t="s">
        <v>1519</v>
      </c>
      <c r="C1532" t="s">
        <v>1520</v>
      </c>
      <c r="D1532" t="str">
        <f>HYPERLINK("https://rhld.insurance.arkansas.gov/NPILookup?Npi=1154977577","1154977577")</f>
        <v>1154977577</v>
      </c>
      <c r="E1532" t="s">
        <v>1581</v>
      </c>
      <c r="F1532" t="s">
        <v>12</v>
      </c>
      <c r="G1532" s="20">
        <v>1</v>
      </c>
      <c r="H1532" t="s">
        <v>139</v>
      </c>
      <c r="I1532" t="s">
        <v>4357</v>
      </c>
      <c r="J1532" s="9"/>
      <c r="K1532" s="9"/>
      <c r="L1532" s="9"/>
    </row>
    <row r="1533" spans="2:12" ht="15" x14ac:dyDescent="0.25">
      <c r="B1533" t="s">
        <v>1519</v>
      </c>
      <c r="C1533" t="s">
        <v>1520</v>
      </c>
      <c r="D1533" t="str">
        <f>HYPERLINK("https://rhld.insurance.arkansas.gov/NPILookup?Npi=1164208021","1164208021")</f>
        <v>1164208021</v>
      </c>
      <c r="E1533" t="s">
        <v>1582</v>
      </c>
      <c r="F1533" t="s">
        <v>12</v>
      </c>
      <c r="G1533" s="20">
        <v>1</v>
      </c>
      <c r="H1533" t="s">
        <v>4338</v>
      </c>
      <c r="I1533" t="s">
        <v>32</v>
      </c>
      <c r="J1533" s="9"/>
      <c r="K1533" s="9"/>
      <c r="L1533" s="9"/>
    </row>
    <row r="1534" spans="2:12" ht="15" x14ac:dyDescent="0.25">
      <c r="B1534" t="s">
        <v>1519</v>
      </c>
      <c r="C1534" t="s">
        <v>1520</v>
      </c>
      <c r="D1534" t="str">
        <f>HYPERLINK("https://rhld.insurance.arkansas.gov/NPILookup?Npi=1164568598","1164568598")</f>
        <v>1164568598</v>
      </c>
      <c r="E1534" t="s">
        <v>1584</v>
      </c>
      <c r="F1534" t="s">
        <v>12</v>
      </c>
      <c r="G1534" s="20">
        <v>1</v>
      </c>
      <c r="H1534" t="s">
        <v>4338</v>
      </c>
      <c r="I1534" t="s">
        <v>32</v>
      </c>
      <c r="J1534" s="9"/>
      <c r="K1534" s="9"/>
      <c r="L1534" s="9"/>
    </row>
    <row r="1535" spans="2:12" ht="15" x14ac:dyDescent="0.25">
      <c r="B1535" t="s">
        <v>1519</v>
      </c>
      <c r="C1535" t="s">
        <v>1520</v>
      </c>
      <c r="D1535" t="str">
        <f>HYPERLINK("https://rhld.insurance.arkansas.gov/NPILookup?Npi=1174501548","1174501548")</f>
        <v>1174501548</v>
      </c>
      <c r="E1535" t="s">
        <v>1586</v>
      </c>
      <c r="F1535" t="s">
        <v>13</v>
      </c>
      <c r="G1535" s="20">
        <v>1</v>
      </c>
      <c r="H1535" t="s">
        <v>4357</v>
      </c>
      <c r="I1535" t="s">
        <v>4357</v>
      </c>
      <c r="J1535" s="9"/>
      <c r="K1535" s="9"/>
      <c r="L1535" s="9"/>
    </row>
    <row r="1536" spans="2:12" ht="15" x14ac:dyDescent="0.25">
      <c r="B1536" t="s">
        <v>1519</v>
      </c>
      <c r="C1536" t="s">
        <v>1520</v>
      </c>
      <c r="D1536" t="str">
        <f>HYPERLINK("https://rhld.insurance.arkansas.gov/NPILookup?Npi=1174679377","1174679377")</f>
        <v>1174679377</v>
      </c>
      <c r="E1536" t="s">
        <v>1587</v>
      </c>
      <c r="F1536" t="s">
        <v>12</v>
      </c>
      <c r="G1536" s="20">
        <v>1</v>
      </c>
      <c r="H1536" t="s">
        <v>139</v>
      </c>
      <c r="I1536" t="s">
        <v>32</v>
      </c>
      <c r="J1536" s="9"/>
      <c r="K1536" s="9"/>
      <c r="L1536" s="9"/>
    </row>
    <row r="1537" spans="2:12" ht="15" x14ac:dyDescent="0.25">
      <c r="B1537" t="s">
        <v>1519</v>
      </c>
      <c r="C1537" t="s">
        <v>1520</v>
      </c>
      <c r="D1537" t="str">
        <f>HYPERLINK("https://rhld.insurance.arkansas.gov/NPILookup?Npi=1174874077","1174874077")</f>
        <v>1174874077</v>
      </c>
      <c r="E1537" t="s">
        <v>1588</v>
      </c>
      <c r="F1537" t="s">
        <v>13</v>
      </c>
      <c r="G1537" s="20">
        <v>1</v>
      </c>
      <c r="H1537" t="s">
        <v>4357</v>
      </c>
      <c r="I1537" t="s">
        <v>4357</v>
      </c>
      <c r="J1537" s="9"/>
      <c r="K1537" s="9"/>
      <c r="L1537" s="9"/>
    </row>
    <row r="1538" spans="2:12" ht="15" x14ac:dyDescent="0.25">
      <c r="B1538" t="s">
        <v>1519</v>
      </c>
      <c r="C1538" t="s">
        <v>1520</v>
      </c>
      <c r="D1538" t="str">
        <f>HYPERLINK("https://rhld.insurance.arkansas.gov/NPILookup?Npi=1174973879","1174973879")</f>
        <v>1174973879</v>
      </c>
      <c r="E1538" t="s">
        <v>1589</v>
      </c>
      <c r="F1538" t="s">
        <v>12</v>
      </c>
      <c r="G1538" s="20">
        <v>1</v>
      </c>
      <c r="H1538" t="s">
        <v>4338</v>
      </c>
      <c r="I1538" t="s">
        <v>4357</v>
      </c>
      <c r="J1538" s="9"/>
      <c r="K1538" s="9"/>
      <c r="L1538" s="9"/>
    </row>
    <row r="1539" spans="2:12" ht="15" x14ac:dyDescent="0.25">
      <c r="B1539" t="s">
        <v>1519</v>
      </c>
      <c r="C1539" t="s">
        <v>1520</v>
      </c>
      <c r="D1539" t="str">
        <f>HYPERLINK("https://rhld.insurance.arkansas.gov/NPILookup?Npi=1184237786","1184237786")</f>
        <v>1184237786</v>
      </c>
      <c r="E1539" t="s">
        <v>1590</v>
      </c>
      <c r="F1539" t="s">
        <v>12</v>
      </c>
      <c r="G1539" s="20">
        <v>1</v>
      </c>
      <c r="H1539" t="s">
        <v>139</v>
      </c>
      <c r="I1539" t="s">
        <v>32</v>
      </c>
      <c r="J1539" s="9"/>
      <c r="K1539" s="9"/>
      <c r="L1539" s="9"/>
    </row>
    <row r="1540" spans="2:12" ht="15" x14ac:dyDescent="0.25">
      <c r="B1540" t="s">
        <v>1519</v>
      </c>
      <c r="C1540" t="s">
        <v>1520</v>
      </c>
      <c r="D1540" t="str">
        <f>HYPERLINK("https://rhld.insurance.arkansas.gov/NPILookup?Npi=1184364515","1184364515")</f>
        <v>1184364515</v>
      </c>
      <c r="E1540" t="s">
        <v>1591</v>
      </c>
      <c r="F1540" t="s">
        <v>13</v>
      </c>
      <c r="G1540" s="20">
        <v>1</v>
      </c>
      <c r="H1540" t="s">
        <v>4357</v>
      </c>
      <c r="I1540" t="s">
        <v>4357</v>
      </c>
      <c r="J1540" s="9"/>
      <c r="K1540" s="9"/>
      <c r="L1540" s="9"/>
    </row>
    <row r="1541" spans="2:12" ht="15" x14ac:dyDescent="0.25">
      <c r="B1541" t="s">
        <v>1519</v>
      </c>
      <c r="C1541" t="s">
        <v>1520</v>
      </c>
      <c r="D1541" t="str">
        <f>HYPERLINK("https://rhld.insurance.arkansas.gov/NPILookup?Npi=1184617995","1184617995")</f>
        <v>1184617995</v>
      </c>
      <c r="E1541" t="s">
        <v>1592</v>
      </c>
      <c r="F1541" t="s">
        <v>13</v>
      </c>
      <c r="G1541" s="20">
        <v>1</v>
      </c>
      <c r="H1541" t="s">
        <v>4357</v>
      </c>
      <c r="I1541" t="s">
        <v>4357</v>
      </c>
      <c r="J1541" s="9"/>
      <c r="K1541" s="9"/>
      <c r="L1541" s="9"/>
    </row>
    <row r="1542" spans="2:12" ht="15" x14ac:dyDescent="0.25">
      <c r="B1542" t="s">
        <v>1519</v>
      </c>
      <c r="C1542" t="s">
        <v>1520</v>
      </c>
      <c r="D1542" t="str">
        <f>HYPERLINK("https://rhld.insurance.arkansas.gov/NPILookup?Npi=1194085779","1194085779")</f>
        <v>1194085779</v>
      </c>
      <c r="E1542" t="s">
        <v>1594</v>
      </c>
      <c r="F1542" t="s">
        <v>13</v>
      </c>
      <c r="G1542" s="20">
        <v>1</v>
      </c>
      <c r="H1542" t="s">
        <v>4357</v>
      </c>
      <c r="I1542" t="s">
        <v>4357</v>
      </c>
      <c r="J1542" s="9"/>
      <c r="K1542" s="9"/>
      <c r="L1542" s="9"/>
    </row>
    <row r="1543" spans="2:12" ht="15" x14ac:dyDescent="0.25">
      <c r="B1543" t="s">
        <v>1519</v>
      </c>
      <c r="C1543" t="s">
        <v>1520</v>
      </c>
      <c r="D1543" t="str">
        <f>HYPERLINK("https://rhld.insurance.arkansas.gov/NPILookup?Npi=1194116715","1194116715")</f>
        <v>1194116715</v>
      </c>
      <c r="E1543" t="s">
        <v>1595</v>
      </c>
      <c r="F1543" t="s">
        <v>13</v>
      </c>
      <c r="G1543" s="20">
        <v>1</v>
      </c>
      <c r="H1543" t="s">
        <v>87</v>
      </c>
      <c r="I1543" t="s">
        <v>4357</v>
      </c>
      <c r="J1543" s="9"/>
      <c r="K1543" s="9"/>
      <c r="L1543" s="9"/>
    </row>
    <row r="1544" spans="2:12" ht="15" x14ac:dyDescent="0.25">
      <c r="B1544" t="s">
        <v>1519</v>
      </c>
      <c r="C1544" t="s">
        <v>1520</v>
      </c>
      <c r="D1544" t="str">
        <f>HYPERLINK("https://rhld.insurance.arkansas.gov/NPILookup?Npi=1194223891","1194223891")</f>
        <v>1194223891</v>
      </c>
      <c r="E1544" t="s">
        <v>1596</v>
      </c>
      <c r="F1544" t="s">
        <v>12</v>
      </c>
      <c r="G1544" s="20">
        <v>1</v>
      </c>
      <c r="H1544" t="s">
        <v>4338</v>
      </c>
      <c r="I1544" t="s">
        <v>32</v>
      </c>
      <c r="J1544" s="9"/>
      <c r="K1544" s="9"/>
      <c r="L1544" s="9"/>
    </row>
    <row r="1545" spans="2:12" ht="15" x14ac:dyDescent="0.25">
      <c r="B1545" t="s">
        <v>1519</v>
      </c>
      <c r="C1545" t="s">
        <v>1520</v>
      </c>
      <c r="D1545" t="str">
        <f>HYPERLINK("https://rhld.insurance.arkansas.gov/NPILookup?Npi=1194285569","1194285569")</f>
        <v>1194285569</v>
      </c>
      <c r="E1545" t="s">
        <v>1597</v>
      </c>
      <c r="F1545" t="s">
        <v>13</v>
      </c>
      <c r="G1545" s="20">
        <v>1</v>
      </c>
      <c r="H1545" t="s">
        <v>4357</v>
      </c>
      <c r="I1545" t="s">
        <v>4357</v>
      </c>
      <c r="J1545" s="9"/>
      <c r="K1545" s="9"/>
      <c r="L1545" s="9"/>
    </row>
    <row r="1546" spans="2:12" ht="15" x14ac:dyDescent="0.25">
      <c r="B1546" t="s">
        <v>1519</v>
      </c>
      <c r="C1546" t="s">
        <v>1520</v>
      </c>
      <c r="D1546" t="str">
        <f>HYPERLINK("https://rhld.insurance.arkansas.gov/NPILookup?Npi=1194526996","1194526996")</f>
        <v>1194526996</v>
      </c>
      <c r="E1546" t="s">
        <v>1598</v>
      </c>
      <c r="F1546" t="s">
        <v>13</v>
      </c>
      <c r="G1546" s="20">
        <v>1</v>
      </c>
      <c r="H1546" t="s">
        <v>4357</v>
      </c>
      <c r="I1546" t="s">
        <v>4357</v>
      </c>
      <c r="J1546" s="9"/>
      <c r="K1546" s="9"/>
      <c r="L1546" s="9"/>
    </row>
    <row r="1547" spans="2:12" ht="15" x14ac:dyDescent="0.25">
      <c r="B1547" t="s">
        <v>1519</v>
      </c>
      <c r="C1547" t="s">
        <v>1520</v>
      </c>
      <c r="D1547" t="str">
        <f>HYPERLINK("https://rhld.insurance.arkansas.gov/NPILookup?Npi=1194729061","1194729061")</f>
        <v>1194729061</v>
      </c>
      <c r="E1547" t="s">
        <v>1209</v>
      </c>
      <c r="F1547" t="s">
        <v>12</v>
      </c>
      <c r="G1547" s="20">
        <v>1</v>
      </c>
      <c r="H1547" t="s">
        <v>4338</v>
      </c>
      <c r="I1547" t="s">
        <v>32</v>
      </c>
      <c r="J1547" s="9"/>
      <c r="K1547" s="9"/>
      <c r="L1547" s="9"/>
    </row>
    <row r="1548" spans="2:12" ht="15" x14ac:dyDescent="0.25">
      <c r="B1548" t="s">
        <v>1519</v>
      </c>
      <c r="C1548" t="s">
        <v>1520</v>
      </c>
      <c r="D1548" t="str">
        <f>HYPERLINK("https://rhld.insurance.arkansas.gov/NPILookup?Npi=1194910620","1194910620")</f>
        <v>1194910620</v>
      </c>
      <c r="E1548" t="s">
        <v>1599</v>
      </c>
      <c r="F1548" t="s">
        <v>12</v>
      </c>
      <c r="G1548" s="20">
        <v>1</v>
      </c>
      <c r="H1548" t="s">
        <v>4338</v>
      </c>
      <c r="I1548" t="s">
        <v>32</v>
      </c>
      <c r="J1548" s="9"/>
      <c r="K1548" s="9"/>
      <c r="L1548" s="9"/>
    </row>
    <row r="1549" spans="2:12" ht="15" x14ac:dyDescent="0.25">
      <c r="B1549" t="s">
        <v>1519</v>
      </c>
      <c r="C1549" t="s">
        <v>1520</v>
      </c>
      <c r="D1549" t="str">
        <f>HYPERLINK("https://rhld.insurance.arkansas.gov/NPILookup?Npi=1194918912","1194918912")</f>
        <v>1194918912</v>
      </c>
      <c r="E1549" t="s">
        <v>1600</v>
      </c>
      <c r="F1549" t="s">
        <v>13</v>
      </c>
      <c r="G1549" s="20">
        <v>1</v>
      </c>
      <c r="H1549" t="s">
        <v>1533</v>
      </c>
      <c r="I1549" t="s">
        <v>4357</v>
      </c>
      <c r="J1549" s="9"/>
      <c r="K1549" s="9"/>
      <c r="L1549" s="9"/>
    </row>
    <row r="1550" spans="2:12" ht="15" x14ac:dyDescent="0.25">
      <c r="B1550" t="s">
        <v>1519</v>
      </c>
      <c r="C1550" t="s">
        <v>1520</v>
      </c>
      <c r="D1550" t="str">
        <f>HYPERLINK("https://rhld.insurance.arkansas.gov/NPILookup?Npi=1205376209","1205376209")</f>
        <v>1205376209</v>
      </c>
      <c r="E1550" t="s">
        <v>1601</v>
      </c>
      <c r="F1550" t="s">
        <v>13</v>
      </c>
      <c r="G1550" s="20">
        <v>1</v>
      </c>
      <c r="H1550" t="s">
        <v>4357</v>
      </c>
      <c r="I1550" t="s">
        <v>4357</v>
      </c>
      <c r="J1550" s="9"/>
      <c r="K1550" s="9"/>
      <c r="L1550" s="9"/>
    </row>
    <row r="1551" spans="2:12" ht="15" x14ac:dyDescent="0.25">
      <c r="B1551" t="s">
        <v>1519</v>
      </c>
      <c r="C1551" t="s">
        <v>1520</v>
      </c>
      <c r="D1551" t="str">
        <f>HYPERLINK("https://rhld.insurance.arkansas.gov/NPILookup?Npi=1215503016","1215503016")</f>
        <v>1215503016</v>
      </c>
      <c r="E1551" t="s">
        <v>1603</v>
      </c>
      <c r="F1551" t="s">
        <v>13</v>
      </c>
      <c r="G1551" s="20">
        <v>1</v>
      </c>
      <c r="H1551" t="s">
        <v>4357</v>
      </c>
      <c r="I1551" t="s">
        <v>4357</v>
      </c>
      <c r="J1551" s="9"/>
      <c r="K1551" s="9"/>
      <c r="L1551" s="9"/>
    </row>
    <row r="1552" spans="2:12" ht="15" x14ac:dyDescent="0.25">
      <c r="B1552" t="s">
        <v>1519</v>
      </c>
      <c r="C1552" t="s">
        <v>1520</v>
      </c>
      <c r="D1552" t="str">
        <f>HYPERLINK("https://rhld.insurance.arkansas.gov/NPILookup?Npi=1215564349","1215564349")</f>
        <v>1215564349</v>
      </c>
      <c r="E1552" t="s">
        <v>1604</v>
      </c>
      <c r="F1552" t="s">
        <v>13</v>
      </c>
      <c r="G1552" s="20">
        <v>1</v>
      </c>
      <c r="H1552" t="s">
        <v>4357</v>
      </c>
      <c r="I1552" t="s">
        <v>4357</v>
      </c>
      <c r="J1552" s="9"/>
      <c r="K1552" s="9"/>
      <c r="L1552" s="9"/>
    </row>
    <row r="1553" spans="2:12" ht="15" x14ac:dyDescent="0.25">
      <c r="B1553" t="s">
        <v>1519</v>
      </c>
      <c r="C1553" t="s">
        <v>1520</v>
      </c>
      <c r="D1553" t="str">
        <f>HYPERLINK("https://rhld.insurance.arkansas.gov/NPILookup?Npi=1215701453","1215701453")</f>
        <v>1215701453</v>
      </c>
      <c r="E1553" t="s">
        <v>1605</v>
      </c>
      <c r="F1553" t="s">
        <v>13</v>
      </c>
      <c r="G1553" s="20">
        <v>1</v>
      </c>
      <c r="H1553" t="s">
        <v>4357</v>
      </c>
      <c r="I1553" t="s">
        <v>4357</v>
      </c>
      <c r="J1553" s="9"/>
      <c r="K1553" s="9"/>
      <c r="L1553" s="9"/>
    </row>
    <row r="1554" spans="2:12" ht="15" x14ac:dyDescent="0.25">
      <c r="B1554" t="s">
        <v>1519</v>
      </c>
      <c r="C1554" t="s">
        <v>1520</v>
      </c>
      <c r="D1554" t="str">
        <f>HYPERLINK("https://rhld.insurance.arkansas.gov/NPILookup?Npi=1215932488","1215932488")</f>
        <v>1215932488</v>
      </c>
      <c r="E1554" t="s">
        <v>481</v>
      </c>
      <c r="F1554" t="s">
        <v>12</v>
      </c>
      <c r="G1554" s="20">
        <v>1</v>
      </c>
      <c r="H1554" t="s">
        <v>4338</v>
      </c>
      <c r="I1554" t="s">
        <v>32</v>
      </c>
      <c r="J1554" s="9"/>
      <c r="K1554" s="9"/>
      <c r="L1554" s="9"/>
    </row>
    <row r="1555" spans="2:12" ht="15" x14ac:dyDescent="0.25">
      <c r="B1555" t="s">
        <v>1519</v>
      </c>
      <c r="C1555" t="s">
        <v>1520</v>
      </c>
      <c r="D1555" t="str">
        <f>HYPERLINK("https://rhld.insurance.arkansas.gov/NPILookup?Npi=1225242043","1225242043")</f>
        <v>1225242043</v>
      </c>
      <c r="E1555" t="s">
        <v>1606</v>
      </c>
      <c r="F1555" t="s">
        <v>12</v>
      </c>
      <c r="G1555" s="20">
        <v>1</v>
      </c>
      <c r="H1555" t="s">
        <v>4338</v>
      </c>
      <c r="I1555" t="s">
        <v>32</v>
      </c>
      <c r="J1555" s="9"/>
      <c r="K1555" s="9"/>
      <c r="L1555" s="9"/>
    </row>
    <row r="1556" spans="2:12" ht="15" x14ac:dyDescent="0.25">
      <c r="B1556" t="s">
        <v>1519</v>
      </c>
      <c r="C1556" t="s">
        <v>1520</v>
      </c>
      <c r="D1556" t="str">
        <f>HYPERLINK("https://rhld.insurance.arkansas.gov/NPILookup?Npi=1225320518","1225320518")</f>
        <v>1225320518</v>
      </c>
      <c r="E1556" t="s">
        <v>1607</v>
      </c>
      <c r="F1556" t="s">
        <v>12</v>
      </c>
      <c r="G1556" s="20">
        <v>1</v>
      </c>
      <c r="H1556" t="s">
        <v>4338</v>
      </c>
      <c r="I1556" t="s">
        <v>32</v>
      </c>
      <c r="J1556" s="9"/>
      <c r="K1556" s="9"/>
      <c r="L1556" s="9"/>
    </row>
    <row r="1557" spans="2:12" ht="15" x14ac:dyDescent="0.25">
      <c r="B1557" t="s">
        <v>1519</v>
      </c>
      <c r="C1557" t="s">
        <v>1520</v>
      </c>
      <c r="D1557" t="str">
        <f>HYPERLINK("https://rhld.insurance.arkansas.gov/NPILookup?Npi=1225848864","1225848864")</f>
        <v>1225848864</v>
      </c>
      <c r="E1557" t="s">
        <v>1608</v>
      </c>
      <c r="F1557" t="s">
        <v>13</v>
      </c>
      <c r="G1557" s="20">
        <v>2</v>
      </c>
      <c r="H1557" t="s">
        <v>1548</v>
      </c>
      <c r="I1557" t="s">
        <v>4357</v>
      </c>
      <c r="J1557" s="9"/>
      <c r="K1557" s="9"/>
      <c r="L1557" s="9"/>
    </row>
    <row r="1558" spans="2:12" ht="15" x14ac:dyDescent="0.25">
      <c r="B1558" t="s">
        <v>1519</v>
      </c>
      <c r="C1558" t="s">
        <v>1520</v>
      </c>
      <c r="D1558" t="str">
        <f>HYPERLINK("https://rhld.insurance.arkansas.gov/NPILookup?Npi=1225862097","1225862097")</f>
        <v>1225862097</v>
      </c>
      <c r="E1558" t="s">
        <v>1609</v>
      </c>
      <c r="F1558" t="s">
        <v>13</v>
      </c>
      <c r="G1558" s="20">
        <v>1</v>
      </c>
      <c r="H1558" t="s">
        <v>4357</v>
      </c>
      <c r="I1558" t="s">
        <v>4357</v>
      </c>
      <c r="J1558" s="9"/>
      <c r="K1558" s="9"/>
      <c r="L1558" s="9"/>
    </row>
    <row r="1559" spans="2:12" ht="15" x14ac:dyDescent="0.25">
      <c r="B1559" t="s">
        <v>1519</v>
      </c>
      <c r="C1559" t="s">
        <v>1520</v>
      </c>
      <c r="D1559" t="str">
        <f>HYPERLINK("https://rhld.insurance.arkansas.gov/NPILookup?Npi=1235372442","1235372442")</f>
        <v>1235372442</v>
      </c>
      <c r="E1559" t="s">
        <v>1610</v>
      </c>
      <c r="F1559" t="s">
        <v>13</v>
      </c>
      <c r="G1559" s="20">
        <v>1</v>
      </c>
      <c r="H1559" t="s">
        <v>1533</v>
      </c>
      <c r="I1559" t="s">
        <v>4357</v>
      </c>
      <c r="J1559" s="9"/>
      <c r="K1559" s="9"/>
      <c r="L1559" s="9"/>
    </row>
    <row r="1560" spans="2:12" ht="15" x14ac:dyDescent="0.25">
      <c r="B1560" t="s">
        <v>1519</v>
      </c>
      <c r="C1560" t="s">
        <v>1520</v>
      </c>
      <c r="D1560" t="str">
        <f>HYPERLINK("https://rhld.insurance.arkansas.gov/NPILookup?Npi=1235863135","1235863135")</f>
        <v>1235863135</v>
      </c>
      <c r="E1560" t="s">
        <v>1611</v>
      </c>
      <c r="F1560" t="s">
        <v>13</v>
      </c>
      <c r="G1560" s="20">
        <v>1</v>
      </c>
      <c r="H1560" t="s">
        <v>4357</v>
      </c>
      <c r="I1560" t="s">
        <v>4357</v>
      </c>
      <c r="J1560" s="9"/>
      <c r="K1560" s="9"/>
      <c r="L1560" s="9"/>
    </row>
    <row r="1561" spans="2:12" ht="15" x14ac:dyDescent="0.25">
      <c r="B1561" t="s">
        <v>1519</v>
      </c>
      <c r="C1561" t="s">
        <v>1520</v>
      </c>
      <c r="D1561" t="str">
        <f>HYPERLINK("https://rhld.insurance.arkansas.gov/NPILookup?Npi=1235866658","1235866658")</f>
        <v>1235866658</v>
      </c>
      <c r="E1561" t="s">
        <v>1612</v>
      </c>
      <c r="F1561" t="s">
        <v>13</v>
      </c>
      <c r="G1561" s="20">
        <v>1</v>
      </c>
      <c r="H1561" t="s">
        <v>1533</v>
      </c>
      <c r="I1561" t="s">
        <v>4357</v>
      </c>
      <c r="J1561" s="9"/>
      <c r="K1561" s="9"/>
      <c r="L1561" s="9"/>
    </row>
    <row r="1562" spans="2:12" ht="15" x14ac:dyDescent="0.25">
      <c r="B1562" t="s">
        <v>1519</v>
      </c>
      <c r="C1562" t="s">
        <v>1520</v>
      </c>
      <c r="D1562" t="str">
        <f>HYPERLINK("https://rhld.insurance.arkansas.gov/NPILookup?Npi=1235867821","1235867821")</f>
        <v>1235867821</v>
      </c>
      <c r="E1562" t="s">
        <v>1613</v>
      </c>
      <c r="F1562" t="s">
        <v>12</v>
      </c>
      <c r="G1562" s="20">
        <v>1</v>
      </c>
      <c r="H1562" t="s">
        <v>139</v>
      </c>
      <c r="I1562" t="s">
        <v>4357</v>
      </c>
      <c r="J1562" s="9"/>
      <c r="K1562" s="9"/>
      <c r="L1562" s="9"/>
    </row>
    <row r="1563" spans="2:12" ht="15" x14ac:dyDescent="0.25">
      <c r="B1563" t="s">
        <v>1519</v>
      </c>
      <c r="C1563" t="s">
        <v>1520</v>
      </c>
      <c r="D1563" t="str">
        <f>HYPERLINK("https://rhld.insurance.arkansas.gov/NPILookup?Npi=1235941097","1235941097")</f>
        <v>1235941097</v>
      </c>
      <c r="E1563" t="s">
        <v>1614</v>
      </c>
      <c r="F1563" t="s">
        <v>13</v>
      </c>
      <c r="G1563" s="20">
        <v>2</v>
      </c>
      <c r="H1563" t="s">
        <v>1548</v>
      </c>
      <c r="I1563" t="s">
        <v>4357</v>
      </c>
      <c r="J1563" s="9"/>
      <c r="K1563" s="9"/>
      <c r="L1563" s="9"/>
    </row>
    <row r="1564" spans="2:12" ht="15" x14ac:dyDescent="0.25">
      <c r="B1564" t="s">
        <v>1519</v>
      </c>
      <c r="C1564" t="s">
        <v>1520</v>
      </c>
      <c r="D1564" t="str">
        <f>HYPERLINK("https://rhld.insurance.arkansas.gov/NPILookup?Npi=1235942897","1235942897")</f>
        <v>1235942897</v>
      </c>
      <c r="E1564" t="s">
        <v>1615</v>
      </c>
      <c r="F1564" t="s">
        <v>13</v>
      </c>
      <c r="G1564" s="20">
        <v>2</v>
      </c>
      <c r="H1564" t="s">
        <v>1548</v>
      </c>
      <c r="I1564" t="s">
        <v>4357</v>
      </c>
      <c r="J1564" s="9"/>
      <c r="K1564" s="9"/>
      <c r="L1564" s="9"/>
    </row>
    <row r="1565" spans="2:12" ht="15" x14ac:dyDescent="0.25">
      <c r="B1565" t="s">
        <v>1519</v>
      </c>
      <c r="C1565" t="s">
        <v>1520</v>
      </c>
      <c r="D1565" t="str">
        <f>HYPERLINK("https://rhld.insurance.arkansas.gov/NPILookup?Npi=1245043017","1245043017")</f>
        <v>1245043017</v>
      </c>
      <c r="E1565" t="s">
        <v>1616</v>
      </c>
      <c r="F1565" t="s">
        <v>13</v>
      </c>
      <c r="G1565" s="20">
        <v>2</v>
      </c>
      <c r="H1565" t="s">
        <v>1548</v>
      </c>
      <c r="I1565" t="s">
        <v>4357</v>
      </c>
      <c r="J1565" s="9"/>
      <c r="K1565" s="9"/>
      <c r="L1565" s="9"/>
    </row>
    <row r="1566" spans="2:12" ht="15" x14ac:dyDescent="0.25">
      <c r="B1566" t="s">
        <v>1519</v>
      </c>
      <c r="C1566" t="s">
        <v>1520</v>
      </c>
      <c r="D1566" t="str">
        <f>HYPERLINK("https://rhld.insurance.arkansas.gov/NPILookup?Npi=1245586874","1245586874")</f>
        <v>1245586874</v>
      </c>
      <c r="E1566" t="s">
        <v>1617</v>
      </c>
      <c r="F1566" t="s">
        <v>12</v>
      </c>
      <c r="G1566" s="20">
        <v>1</v>
      </c>
      <c r="H1566" t="s">
        <v>139</v>
      </c>
      <c r="I1566" t="s">
        <v>4357</v>
      </c>
      <c r="J1566" s="9"/>
      <c r="K1566" s="9"/>
      <c r="L1566" s="9"/>
    </row>
    <row r="1567" spans="2:12" ht="15" x14ac:dyDescent="0.25">
      <c r="B1567" t="s">
        <v>1519</v>
      </c>
      <c r="C1567" t="s">
        <v>1520</v>
      </c>
      <c r="D1567" t="str">
        <f>HYPERLINK("https://rhld.insurance.arkansas.gov/NPILookup?Npi=1245874528","1245874528")</f>
        <v>1245874528</v>
      </c>
      <c r="E1567" t="s">
        <v>1619</v>
      </c>
      <c r="F1567" t="s">
        <v>13</v>
      </c>
      <c r="G1567" s="20">
        <v>1</v>
      </c>
      <c r="H1567" t="s">
        <v>4357</v>
      </c>
      <c r="I1567" t="s">
        <v>4357</v>
      </c>
      <c r="J1567" s="9"/>
      <c r="K1567" s="9"/>
      <c r="L1567" s="9"/>
    </row>
    <row r="1568" spans="2:12" ht="15" x14ac:dyDescent="0.25">
      <c r="B1568" t="s">
        <v>1519</v>
      </c>
      <c r="C1568" t="s">
        <v>1520</v>
      </c>
      <c r="D1568" t="str">
        <f>HYPERLINK("https://rhld.insurance.arkansas.gov/NPILookup?Npi=1245999036","1245999036")</f>
        <v>1245999036</v>
      </c>
      <c r="E1568" t="s">
        <v>1620</v>
      </c>
      <c r="F1568" t="s">
        <v>13</v>
      </c>
      <c r="G1568" s="20">
        <v>2</v>
      </c>
      <c r="H1568" t="s">
        <v>1548</v>
      </c>
      <c r="I1568" t="s">
        <v>4357</v>
      </c>
      <c r="J1568" s="9"/>
      <c r="K1568" s="9"/>
      <c r="L1568" s="9"/>
    </row>
    <row r="1569" spans="2:12" ht="15" x14ac:dyDescent="0.25">
      <c r="B1569" t="s">
        <v>1519</v>
      </c>
      <c r="C1569" t="s">
        <v>1520</v>
      </c>
      <c r="D1569" t="str">
        <f>HYPERLINK("https://rhld.insurance.arkansas.gov/NPILookup?Npi=1255153649","1255153649")</f>
        <v>1255153649</v>
      </c>
      <c r="E1569" t="s">
        <v>1621</v>
      </c>
      <c r="F1569" t="s">
        <v>13</v>
      </c>
      <c r="G1569" s="20">
        <v>1</v>
      </c>
      <c r="H1569" t="s">
        <v>4357</v>
      </c>
      <c r="I1569" t="s">
        <v>4357</v>
      </c>
      <c r="J1569" s="9"/>
      <c r="K1569" s="9"/>
      <c r="L1569" s="9"/>
    </row>
    <row r="1570" spans="2:12" ht="15" x14ac:dyDescent="0.25">
      <c r="B1570" t="s">
        <v>1519</v>
      </c>
      <c r="C1570" t="s">
        <v>1520</v>
      </c>
      <c r="D1570" t="str">
        <f>HYPERLINK("https://rhld.insurance.arkansas.gov/NPILookup?Npi=1255788816","1255788816")</f>
        <v>1255788816</v>
      </c>
      <c r="E1570" t="s">
        <v>1622</v>
      </c>
      <c r="F1570" t="s">
        <v>13</v>
      </c>
      <c r="G1570" s="20">
        <v>1</v>
      </c>
      <c r="H1570" t="s">
        <v>4357</v>
      </c>
      <c r="I1570" t="s">
        <v>4357</v>
      </c>
      <c r="J1570" s="9"/>
      <c r="K1570" s="9"/>
      <c r="L1570" s="9"/>
    </row>
    <row r="1571" spans="2:12" ht="15" x14ac:dyDescent="0.25">
      <c r="B1571" t="s">
        <v>1519</v>
      </c>
      <c r="C1571" t="s">
        <v>1520</v>
      </c>
      <c r="D1571" t="str">
        <f>HYPERLINK("https://rhld.insurance.arkansas.gov/NPILookup?Npi=1255960019","1255960019")</f>
        <v>1255960019</v>
      </c>
      <c r="E1571" t="s">
        <v>1623</v>
      </c>
      <c r="F1571" t="s">
        <v>13</v>
      </c>
      <c r="G1571" s="20">
        <v>1</v>
      </c>
      <c r="H1571" t="s">
        <v>4357</v>
      </c>
      <c r="I1571" t="s">
        <v>4357</v>
      </c>
      <c r="J1571" s="9"/>
      <c r="K1571" s="9"/>
      <c r="L1571" s="9"/>
    </row>
    <row r="1572" spans="2:12" ht="15" x14ac:dyDescent="0.25">
      <c r="B1572" t="s">
        <v>1519</v>
      </c>
      <c r="C1572" t="s">
        <v>1520</v>
      </c>
      <c r="D1572" t="str">
        <f>HYPERLINK("https://rhld.insurance.arkansas.gov/NPILookup?Npi=1265064794","1265064794")</f>
        <v>1265064794</v>
      </c>
      <c r="E1572" t="s">
        <v>1624</v>
      </c>
      <c r="F1572" t="s">
        <v>13</v>
      </c>
      <c r="G1572" s="20">
        <v>2</v>
      </c>
      <c r="H1572" t="s">
        <v>1548</v>
      </c>
      <c r="I1572" t="s">
        <v>4357</v>
      </c>
      <c r="J1572" s="9"/>
      <c r="K1572" s="9"/>
      <c r="L1572" s="9"/>
    </row>
    <row r="1573" spans="2:12" ht="15" x14ac:dyDescent="0.25">
      <c r="B1573" t="s">
        <v>1519</v>
      </c>
      <c r="C1573" t="s">
        <v>1520</v>
      </c>
      <c r="D1573" t="str">
        <f>HYPERLINK("https://rhld.insurance.arkansas.gov/NPILookup?Npi=1265095277","1265095277")</f>
        <v>1265095277</v>
      </c>
      <c r="E1573" t="s">
        <v>1625</v>
      </c>
      <c r="F1573" t="s">
        <v>12</v>
      </c>
      <c r="G1573" s="20">
        <v>1</v>
      </c>
      <c r="H1573" t="s">
        <v>4338</v>
      </c>
      <c r="I1573" t="s">
        <v>32</v>
      </c>
      <c r="J1573" s="9"/>
      <c r="K1573" s="9"/>
      <c r="L1573" s="9"/>
    </row>
    <row r="1574" spans="2:12" ht="15" x14ac:dyDescent="0.25">
      <c r="B1574" t="s">
        <v>1519</v>
      </c>
      <c r="C1574" t="s">
        <v>1520</v>
      </c>
      <c r="D1574" t="str">
        <f>HYPERLINK("https://rhld.insurance.arkansas.gov/NPILookup?Npi=1265162937","1265162937")</f>
        <v>1265162937</v>
      </c>
      <c r="E1574" t="s">
        <v>1626</v>
      </c>
      <c r="F1574" t="s">
        <v>13</v>
      </c>
      <c r="G1574" s="20">
        <v>1</v>
      </c>
      <c r="H1574" t="s">
        <v>4357</v>
      </c>
      <c r="I1574" t="s">
        <v>4357</v>
      </c>
      <c r="J1574" s="9"/>
      <c r="K1574" s="9"/>
      <c r="L1574" s="9"/>
    </row>
    <row r="1575" spans="2:12" ht="15" x14ac:dyDescent="0.25">
      <c r="B1575" t="s">
        <v>1519</v>
      </c>
      <c r="C1575" t="s">
        <v>1520</v>
      </c>
      <c r="D1575" t="str">
        <f>HYPERLINK("https://rhld.insurance.arkansas.gov/NPILookup?Npi=1265540777","1265540777")</f>
        <v>1265540777</v>
      </c>
      <c r="E1575" t="s">
        <v>1627</v>
      </c>
      <c r="F1575" t="s">
        <v>12</v>
      </c>
      <c r="G1575" s="20">
        <v>1</v>
      </c>
      <c r="H1575" t="s">
        <v>4338</v>
      </c>
      <c r="I1575" t="s">
        <v>32</v>
      </c>
      <c r="J1575" s="9"/>
      <c r="K1575" s="9"/>
      <c r="L1575" s="9"/>
    </row>
    <row r="1576" spans="2:12" ht="15" x14ac:dyDescent="0.25">
      <c r="B1576" t="s">
        <v>1519</v>
      </c>
      <c r="C1576" t="s">
        <v>1520</v>
      </c>
      <c r="D1576" t="str">
        <f>HYPERLINK("https://rhld.insurance.arkansas.gov/NPILookup?Npi=1265782601","1265782601")</f>
        <v>1265782601</v>
      </c>
      <c r="E1576" t="s">
        <v>1628</v>
      </c>
      <c r="F1576" t="s">
        <v>13</v>
      </c>
      <c r="G1576" s="20">
        <v>1</v>
      </c>
      <c r="H1576" t="s">
        <v>87</v>
      </c>
      <c r="I1576" t="s">
        <v>4357</v>
      </c>
      <c r="J1576" s="9"/>
      <c r="K1576" s="9"/>
      <c r="L1576" s="9"/>
    </row>
    <row r="1577" spans="2:12" ht="15" x14ac:dyDescent="0.25">
      <c r="B1577" t="s">
        <v>1519</v>
      </c>
      <c r="C1577" t="s">
        <v>1520</v>
      </c>
      <c r="D1577" t="str">
        <f>HYPERLINK("https://rhld.insurance.arkansas.gov/NPILookup?Npi=1265808281","1265808281")</f>
        <v>1265808281</v>
      </c>
      <c r="E1577" t="s">
        <v>1629</v>
      </c>
      <c r="F1577" t="s">
        <v>13</v>
      </c>
      <c r="G1577" s="20">
        <v>1</v>
      </c>
      <c r="H1577" t="s">
        <v>4357</v>
      </c>
      <c r="I1577" t="s">
        <v>4357</v>
      </c>
      <c r="J1577" s="9"/>
      <c r="K1577" s="9"/>
      <c r="L1577" s="9"/>
    </row>
    <row r="1578" spans="2:12" ht="15" x14ac:dyDescent="0.25">
      <c r="B1578" t="s">
        <v>1519</v>
      </c>
      <c r="C1578" t="s">
        <v>1520</v>
      </c>
      <c r="D1578" t="str">
        <f>HYPERLINK("https://rhld.insurance.arkansas.gov/NPILookup?Npi=1275001703","1275001703")</f>
        <v>1275001703</v>
      </c>
      <c r="E1578" t="s">
        <v>1630</v>
      </c>
      <c r="F1578" t="s">
        <v>13</v>
      </c>
      <c r="G1578" s="20">
        <v>1</v>
      </c>
      <c r="H1578" t="s">
        <v>4357</v>
      </c>
      <c r="I1578" t="s">
        <v>4357</v>
      </c>
      <c r="J1578" s="9"/>
      <c r="K1578" s="9"/>
      <c r="L1578" s="9"/>
    </row>
    <row r="1579" spans="2:12" ht="15" x14ac:dyDescent="0.25">
      <c r="B1579" t="s">
        <v>1519</v>
      </c>
      <c r="C1579" t="s">
        <v>1520</v>
      </c>
      <c r="D1579" t="str">
        <f>HYPERLINK("https://rhld.insurance.arkansas.gov/NPILookup?Npi=1275347155","1275347155")</f>
        <v>1275347155</v>
      </c>
      <c r="E1579" t="s">
        <v>1631</v>
      </c>
      <c r="F1579" t="s">
        <v>13</v>
      </c>
      <c r="G1579" s="20">
        <v>2</v>
      </c>
      <c r="H1579" t="s">
        <v>1548</v>
      </c>
      <c r="I1579" t="s">
        <v>4357</v>
      </c>
      <c r="J1579" s="9"/>
      <c r="K1579" s="9"/>
      <c r="L1579" s="9"/>
    </row>
    <row r="1580" spans="2:12" ht="15" x14ac:dyDescent="0.25">
      <c r="B1580" t="s">
        <v>1519</v>
      </c>
      <c r="C1580" t="s">
        <v>1520</v>
      </c>
      <c r="D1580" t="str">
        <f>HYPERLINK("https://rhld.insurance.arkansas.gov/NPILookup?Npi=1275596678","1275596678")</f>
        <v>1275596678</v>
      </c>
      <c r="E1580" t="s">
        <v>1632</v>
      </c>
      <c r="F1580" t="s">
        <v>12</v>
      </c>
      <c r="G1580" s="20">
        <v>1</v>
      </c>
      <c r="H1580" t="s">
        <v>4338</v>
      </c>
      <c r="I1580" t="s">
        <v>32</v>
      </c>
      <c r="J1580" s="9"/>
      <c r="K1580" s="9"/>
      <c r="L1580" s="9"/>
    </row>
    <row r="1581" spans="2:12" ht="15" x14ac:dyDescent="0.25">
      <c r="B1581" t="s">
        <v>1519</v>
      </c>
      <c r="C1581" t="s">
        <v>1520</v>
      </c>
      <c r="D1581" t="str">
        <f>HYPERLINK("https://rhld.insurance.arkansas.gov/NPILookup?Npi=1275709859","1275709859")</f>
        <v>1275709859</v>
      </c>
      <c r="E1581" t="s">
        <v>1217</v>
      </c>
      <c r="F1581" t="s">
        <v>12</v>
      </c>
      <c r="G1581" s="20">
        <v>1</v>
      </c>
      <c r="H1581" t="s">
        <v>4338</v>
      </c>
      <c r="I1581" t="s">
        <v>32</v>
      </c>
      <c r="J1581" s="9"/>
      <c r="K1581" s="9"/>
      <c r="L1581" s="9"/>
    </row>
    <row r="1582" spans="2:12" ht="15" x14ac:dyDescent="0.25">
      <c r="B1582" t="s">
        <v>1519</v>
      </c>
      <c r="C1582" t="s">
        <v>1520</v>
      </c>
      <c r="D1582" t="str">
        <f>HYPERLINK("https://rhld.insurance.arkansas.gov/NPILookup?Npi=1285171876","1285171876")</f>
        <v>1285171876</v>
      </c>
      <c r="E1582" t="s">
        <v>1633</v>
      </c>
      <c r="F1582" t="s">
        <v>12</v>
      </c>
      <c r="G1582" s="20">
        <v>1</v>
      </c>
      <c r="H1582" t="s">
        <v>4338</v>
      </c>
      <c r="I1582" t="s">
        <v>32</v>
      </c>
      <c r="J1582" s="9"/>
      <c r="K1582" s="9"/>
      <c r="L1582" s="9"/>
    </row>
    <row r="1583" spans="2:12" ht="15" x14ac:dyDescent="0.25">
      <c r="B1583" t="s">
        <v>1519</v>
      </c>
      <c r="C1583" t="s">
        <v>1520</v>
      </c>
      <c r="D1583" t="str">
        <f>HYPERLINK("https://rhld.insurance.arkansas.gov/NPILookup?Npi=1285302760","1285302760")</f>
        <v>1285302760</v>
      </c>
      <c r="E1583" t="s">
        <v>1634</v>
      </c>
      <c r="F1583" t="s">
        <v>13</v>
      </c>
      <c r="G1583" s="20">
        <v>2</v>
      </c>
      <c r="H1583" t="s">
        <v>1548</v>
      </c>
      <c r="I1583" t="s">
        <v>4357</v>
      </c>
      <c r="J1583" s="9"/>
      <c r="K1583" s="9"/>
      <c r="L1583" s="9"/>
    </row>
    <row r="1584" spans="2:12" ht="15" x14ac:dyDescent="0.25">
      <c r="B1584" t="s">
        <v>1519</v>
      </c>
      <c r="C1584" t="s">
        <v>1520</v>
      </c>
      <c r="D1584" t="str">
        <f>HYPERLINK("https://rhld.insurance.arkansas.gov/NPILookup?Npi=1285472381","1285472381")</f>
        <v>1285472381</v>
      </c>
      <c r="E1584" t="s">
        <v>1635</v>
      </c>
      <c r="F1584" t="s">
        <v>13</v>
      </c>
      <c r="G1584" s="20">
        <v>2</v>
      </c>
      <c r="H1584" t="s">
        <v>1548</v>
      </c>
      <c r="I1584" t="s">
        <v>4357</v>
      </c>
      <c r="J1584" s="9"/>
      <c r="K1584" s="9"/>
      <c r="L1584" s="9"/>
    </row>
    <row r="1585" spans="2:12" ht="15" x14ac:dyDescent="0.25">
      <c r="B1585" t="s">
        <v>1519</v>
      </c>
      <c r="C1585" t="s">
        <v>1520</v>
      </c>
      <c r="D1585" t="str">
        <f>HYPERLINK("https://rhld.insurance.arkansas.gov/NPILookup?Npi=1295171734","1295171734")</f>
        <v>1295171734</v>
      </c>
      <c r="E1585" t="s">
        <v>1637</v>
      </c>
      <c r="F1585" t="s">
        <v>12</v>
      </c>
      <c r="G1585" s="20">
        <v>1</v>
      </c>
      <c r="H1585" t="s">
        <v>4338</v>
      </c>
      <c r="I1585" t="s">
        <v>32</v>
      </c>
      <c r="J1585" s="9"/>
      <c r="K1585" s="9"/>
      <c r="L1585" s="9"/>
    </row>
    <row r="1586" spans="2:12" ht="15" x14ac:dyDescent="0.25">
      <c r="B1586" t="s">
        <v>1519</v>
      </c>
      <c r="C1586" t="s">
        <v>1520</v>
      </c>
      <c r="D1586" t="str">
        <f>HYPERLINK("https://rhld.insurance.arkansas.gov/NPILookup?Npi=1295230845","1295230845")</f>
        <v>1295230845</v>
      </c>
      <c r="E1586" t="s">
        <v>1638</v>
      </c>
      <c r="F1586" t="s">
        <v>13</v>
      </c>
      <c r="G1586" s="20">
        <v>1</v>
      </c>
      <c r="H1586" t="s">
        <v>87</v>
      </c>
      <c r="I1586" t="s">
        <v>4357</v>
      </c>
      <c r="J1586" s="9"/>
      <c r="K1586" s="9"/>
      <c r="L1586" s="9"/>
    </row>
    <row r="1587" spans="2:12" ht="15" x14ac:dyDescent="0.25">
      <c r="B1587" t="s">
        <v>1519</v>
      </c>
      <c r="C1587" t="s">
        <v>1520</v>
      </c>
      <c r="D1587" t="str">
        <f>HYPERLINK("https://rhld.insurance.arkansas.gov/NPILookup?Npi=1295245017","1295245017")</f>
        <v>1295245017</v>
      </c>
      <c r="E1587" t="s">
        <v>1639</v>
      </c>
      <c r="F1587" t="s">
        <v>13</v>
      </c>
      <c r="G1587" s="20">
        <v>1</v>
      </c>
      <c r="H1587" t="s">
        <v>1533</v>
      </c>
      <c r="I1587" t="s">
        <v>4357</v>
      </c>
      <c r="J1587" s="9"/>
      <c r="K1587" s="9"/>
      <c r="L1587" s="9"/>
    </row>
    <row r="1588" spans="2:12" ht="15" x14ac:dyDescent="0.25">
      <c r="B1588" t="s">
        <v>1519</v>
      </c>
      <c r="C1588" t="s">
        <v>1520</v>
      </c>
      <c r="D1588" t="str">
        <f>HYPERLINK("https://rhld.insurance.arkansas.gov/NPILookup?Npi=1295445443","1295445443")</f>
        <v>1295445443</v>
      </c>
      <c r="E1588" t="s">
        <v>1640</v>
      </c>
      <c r="F1588" t="s">
        <v>13</v>
      </c>
      <c r="G1588" s="20">
        <v>2</v>
      </c>
      <c r="H1588" t="s">
        <v>1548</v>
      </c>
      <c r="I1588" t="s">
        <v>4357</v>
      </c>
      <c r="J1588" s="9"/>
      <c r="K1588" s="9"/>
      <c r="L1588" s="9"/>
    </row>
    <row r="1589" spans="2:12" ht="15" x14ac:dyDescent="0.25">
      <c r="B1589" t="s">
        <v>1519</v>
      </c>
      <c r="C1589" t="s">
        <v>1520</v>
      </c>
      <c r="D1589" t="str">
        <f>HYPERLINK("https://rhld.insurance.arkansas.gov/NPILookup?Npi=1295536092","1295536092")</f>
        <v>1295536092</v>
      </c>
      <c r="E1589" t="s">
        <v>1641</v>
      </c>
      <c r="F1589" t="s">
        <v>13</v>
      </c>
      <c r="G1589" s="20">
        <v>1</v>
      </c>
      <c r="H1589" t="s">
        <v>4357</v>
      </c>
      <c r="I1589" t="s">
        <v>4357</v>
      </c>
      <c r="J1589" s="9"/>
      <c r="K1589" s="9"/>
      <c r="L1589" s="9"/>
    </row>
    <row r="1590" spans="2:12" ht="15" x14ac:dyDescent="0.25">
      <c r="B1590" t="s">
        <v>1519</v>
      </c>
      <c r="C1590" t="s">
        <v>1520</v>
      </c>
      <c r="D1590" t="str">
        <f>HYPERLINK("https://rhld.insurance.arkansas.gov/NPILookup?Npi=1306289012","1306289012")</f>
        <v>1306289012</v>
      </c>
      <c r="E1590" t="s">
        <v>1642</v>
      </c>
      <c r="F1590" t="s">
        <v>12</v>
      </c>
      <c r="G1590" s="20">
        <v>1</v>
      </c>
      <c r="H1590" t="s">
        <v>4338</v>
      </c>
      <c r="I1590" t="s">
        <v>32</v>
      </c>
      <c r="J1590" s="9"/>
      <c r="K1590" s="9"/>
      <c r="L1590" s="9"/>
    </row>
    <row r="1591" spans="2:12" ht="15" x14ac:dyDescent="0.25">
      <c r="B1591" t="s">
        <v>1519</v>
      </c>
      <c r="C1591" t="s">
        <v>1520</v>
      </c>
      <c r="D1591" t="str">
        <f>HYPERLINK("https://rhld.insurance.arkansas.gov/NPILookup?Npi=1306570346","1306570346")</f>
        <v>1306570346</v>
      </c>
      <c r="E1591" t="s">
        <v>1643</v>
      </c>
      <c r="F1591" t="s">
        <v>12</v>
      </c>
      <c r="G1591" s="20">
        <v>1</v>
      </c>
      <c r="H1591" t="s">
        <v>4338</v>
      </c>
      <c r="I1591" t="s">
        <v>32</v>
      </c>
      <c r="J1591" s="9"/>
      <c r="K1591" s="9"/>
      <c r="L1591" s="9"/>
    </row>
    <row r="1592" spans="2:12" ht="15" x14ac:dyDescent="0.25">
      <c r="B1592" t="s">
        <v>1519</v>
      </c>
      <c r="C1592" t="s">
        <v>1520</v>
      </c>
      <c r="D1592" t="str">
        <f>HYPERLINK("https://rhld.insurance.arkansas.gov/NPILookup?Npi=1306572151","1306572151")</f>
        <v>1306572151</v>
      </c>
      <c r="E1592" t="s">
        <v>1644</v>
      </c>
      <c r="F1592" t="s">
        <v>13</v>
      </c>
      <c r="G1592" s="20">
        <v>2</v>
      </c>
      <c r="H1592" t="s">
        <v>1548</v>
      </c>
      <c r="I1592" t="s">
        <v>4357</v>
      </c>
      <c r="J1592" s="9"/>
      <c r="K1592" s="9"/>
      <c r="L1592" s="9"/>
    </row>
    <row r="1593" spans="2:12" ht="15" x14ac:dyDescent="0.25">
      <c r="B1593" t="s">
        <v>1519</v>
      </c>
      <c r="C1593" t="s">
        <v>1520</v>
      </c>
      <c r="D1593" t="str">
        <f>HYPERLINK("https://rhld.insurance.arkansas.gov/NPILookup?Npi=1306580030","1306580030")</f>
        <v>1306580030</v>
      </c>
      <c r="E1593" t="s">
        <v>1645</v>
      </c>
      <c r="F1593" t="s">
        <v>13</v>
      </c>
      <c r="G1593" s="20">
        <v>1</v>
      </c>
      <c r="H1593" t="s">
        <v>1533</v>
      </c>
      <c r="I1593" t="s">
        <v>4357</v>
      </c>
      <c r="J1593" s="9"/>
      <c r="K1593" s="9"/>
      <c r="L1593" s="9"/>
    </row>
    <row r="1594" spans="2:12" ht="15" x14ac:dyDescent="0.25">
      <c r="B1594" t="s">
        <v>1519</v>
      </c>
      <c r="C1594" t="s">
        <v>1520</v>
      </c>
      <c r="D1594" t="str">
        <f>HYPERLINK("https://rhld.insurance.arkansas.gov/NPILookup?Npi=1306660618","1306660618")</f>
        <v>1306660618</v>
      </c>
      <c r="E1594" t="s">
        <v>1646</v>
      </c>
      <c r="F1594" t="s">
        <v>13</v>
      </c>
      <c r="G1594" s="20">
        <v>1</v>
      </c>
      <c r="H1594" t="s">
        <v>4357</v>
      </c>
      <c r="I1594" t="s">
        <v>4357</v>
      </c>
      <c r="J1594" s="9"/>
      <c r="K1594" s="9"/>
      <c r="L1594" s="9"/>
    </row>
    <row r="1595" spans="2:12" ht="15" x14ac:dyDescent="0.25">
      <c r="B1595" t="s">
        <v>1519</v>
      </c>
      <c r="C1595" t="s">
        <v>1520</v>
      </c>
      <c r="D1595" t="str">
        <f>HYPERLINK("https://rhld.insurance.arkansas.gov/NPILookup?Npi=1306919857","1306919857")</f>
        <v>1306919857</v>
      </c>
      <c r="E1595" t="s">
        <v>1647</v>
      </c>
      <c r="F1595" t="s">
        <v>12</v>
      </c>
      <c r="G1595" s="20">
        <v>1</v>
      </c>
      <c r="H1595" t="s">
        <v>4338</v>
      </c>
      <c r="I1595" t="s">
        <v>32</v>
      </c>
      <c r="J1595" s="9"/>
      <c r="K1595" s="9"/>
      <c r="L1595" s="9"/>
    </row>
    <row r="1596" spans="2:12" ht="15" x14ac:dyDescent="0.25">
      <c r="B1596" t="s">
        <v>1519</v>
      </c>
      <c r="C1596" t="s">
        <v>1520</v>
      </c>
      <c r="D1596" t="str">
        <f>HYPERLINK("https://rhld.insurance.arkansas.gov/NPILookup?Npi=1316154792","1316154792")</f>
        <v>1316154792</v>
      </c>
      <c r="E1596" t="s">
        <v>1648</v>
      </c>
      <c r="F1596" t="s">
        <v>12</v>
      </c>
      <c r="G1596" s="20">
        <v>1</v>
      </c>
      <c r="H1596" t="s">
        <v>4338</v>
      </c>
      <c r="I1596" t="s">
        <v>4357</v>
      </c>
      <c r="J1596" s="9"/>
      <c r="K1596" s="9"/>
      <c r="L1596" s="9"/>
    </row>
    <row r="1597" spans="2:12" ht="15" x14ac:dyDescent="0.25">
      <c r="B1597" t="s">
        <v>1519</v>
      </c>
      <c r="C1597" t="s">
        <v>1520</v>
      </c>
      <c r="D1597" t="str">
        <f>HYPERLINK("https://rhld.insurance.arkansas.gov/NPILookup?Npi=1316159197","1316159197")</f>
        <v>1316159197</v>
      </c>
      <c r="E1597" t="s">
        <v>1649</v>
      </c>
      <c r="F1597" t="s">
        <v>12</v>
      </c>
      <c r="G1597" s="20">
        <v>1</v>
      </c>
      <c r="H1597" t="s">
        <v>4338</v>
      </c>
      <c r="I1597" t="s">
        <v>32</v>
      </c>
      <c r="J1597" s="9"/>
      <c r="K1597" s="9"/>
      <c r="L1597" s="9"/>
    </row>
    <row r="1598" spans="2:12" ht="15" x14ac:dyDescent="0.25">
      <c r="B1598" t="s">
        <v>1519</v>
      </c>
      <c r="C1598" t="s">
        <v>1520</v>
      </c>
      <c r="D1598" t="str">
        <f>HYPERLINK("https://rhld.insurance.arkansas.gov/NPILookup?Npi=1316401433","1316401433")</f>
        <v>1316401433</v>
      </c>
      <c r="E1598" t="s">
        <v>1650</v>
      </c>
      <c r="F1598" t="s">
        <v>13</v>
      </c>
      <c r="G1598" s="20">
        <v>1</v>
      </c>
      <c r="H1598" t="s">
        <v>4357</v>
      </c>
      <c r="I1598" t="s">
        <v>4357</v>
      </c>
      <c r="J1598" s="9"/>
      <c r="K1598" s="9"/>
      <c r="L1598" s="9"/>
    </row>
    <row r="1599" spans="2:12" ht="15" x14ac:dyDescent="0.25">
      <c r="B1599" t="s">
        <v>1519</v>
      </c>
      <c r="C1599" t="s">
        <v>1520</v>
      </c>
      <c r="D1599" t="str">
        <f>HYPERLINK("https://rhld.insurance.arkansas.gov/NPILookup?Npi=1316651326","1316651326")</f>
        <v>1316651326</v>
      </c>
      <c r="E1599" t="s">
        <v>1651</v>
      </c>
      <c r="F1599" t="s">
        <v>13</v>
      </c>
      <c r="G1599" s="20">
        <v>1</v>
      </c>
      <c r="H1599" t="s">
        <v>4357</v>
      </c>
      <c r="I1599" t="s">
        <v>4357</v>
      </c>
      <c r="J1599" s="9"/>
      <c r="K1599" s="9"/>
      <c r="L1599" s="9"/>
    </row>
    <row r="1600" spans="2:12" ht="15" x14ac:dyDescent="0.25">
      <c r="B1600" t="s">
        <v>1519</v>
      </c>
      <c r="C1600" t="s">
        <v>1520</v>
      </c>
      <c r="D1600" t="str">
        <f>HYPERLINK("https://rhld.insurance.arkansas.gov/NPILookup?Npi=1326225640","1326225640")</f>
        <v>1326225640</v>
      </c>
      <c r="E1600" t="s">
        <v>1652</v>
      </c>
      <c r="F1600" t="s">
        <v>12</v>
      </c>
      <c r="G1600" s="20">
        <v>1</v>
      </c>
      <c r="H1600" t="s">
        <v>4338</v>
      </c>
      <c r="I1600" t="s">
        <v>32</v>
      </c>
      <c r="J1600" s="9"/>
      <c r="K1600" s="9"/>
      <c r="L1600" s="9"/>
    </row>
    <row r="1601" spans="2:12" ht="15" x14ac:dyDescent="0.25">
      <c r="B1601" t="s">
        <v>1519</v>
      </c>
      <c r="C1601" t="s">
        <v>1520</v>
      </c>
      <c r="D1601" t="str">
        <f>HYPERLINK("https://rhld.insurance.arkansas.gov/NPILookup?Npi=1326296658","1326296658")</f>
        <v>1326296658</v>
      </c>
      <c r="E1601" t="s">
        <v>1653</v>
      </c>
      <c r="F1601" t="s">
        <v>12</v>
      </c>
      <c r="G1601" s="20">
        <v>1</v>
      </c>
      <c r="H1601" t="s">
        <v>139</v>
      </c>
      <c r="I1601" t="s">
        <v>32</v>
      </c>
      <c r="J1601" s="9"/>
      <c r="K1601" s="9"/>
      <c r="L1601" s="9"/>
    </row>
    <row r="1602" spans="2:12" ht="15" x14ac:dyDescent="0.25">
      <c r="B1602" t="s">
        <v>1519</v>
      </c>
      <c r="C1602" t="s">
        <v>1520</v>
      </c>
      <c r="D1602" t="str">
        <f>HYPERLINK("https://rhld.insurance.arkansas.gov/NPILookup?Npi=1326438466","1326438466")</f>
        <v>1326438466</v>
      </c>
      <c r="E1602" t="s">
        <v>1654</v>
      </c>
      <c r="F1602" t="s">
        <v>12</v>
      </c>
      <c r="G1602" s="20">
        <v>1</v>
      </c>
      <c r="H1602" t="s">
        <v>4338</v>
      </c>
      <c r="I1602" t="s">
        <v>32</v>
      </c>
      <c r="J1602" s="9"/>
      <c r="K1602" s="9"/>
      <c r="L1602" s="9"/>
    </row>
    <row r="1603" spans="2:12" ht="15" x14ac:dyDescent="0.25">
      <c r="B1603" t="s">
        <v>1519</v>
      </c>
      <c r="C1603" t="s">
        <v>1520</v>
      </c>
      <c r="D1603" t="str">
        <f>HYPERLINK("https://rhld.insurance.arkansas.gov/NPILookup?Npi=1326687203","1326687203")</f>
        <v>1326687203</v>
      </c>
      <c r="E1603" t="s">
        <v>1656</v>
      </c>
      <c r="F1603" t="s">
        <v>12</v>
      </c>
      <c r="G1603" s="20">
        <v>1</v>
      </c>
      <c r="H1603" t="s">
        <v>4338</v>
      </c>
      <c r="I1603" t="s">
        <v>32</v>
      </c>
      <c r="J1603" s="9"/>
      <c r="K1603" s="9"/>
      <c r="L1603" s="9"/>
    </row>
    <row r="1604" spans="2:12" ht="15" x14ac:dyDescent="0.25">
      <c r="B1604" t="s">
        <v>1519</v>
      </c>
      <c r="C1604" t="s">
        <v>1520</v>
      </c>
      <c r="D1604" t="str">
        <f>HYPERLINK("https://rhld.insurance.arkansas.gov/NPILookup?Npi=1326882028","1326882028")</f>
        <v>1326882028</v>
      </c>
      <c r="E1604" t="s">
        <v>1657</v>
      </c>
      <c r="F1604" t="s">
        <v>13</v>
      </c>
      <c r="G1604" s="20">
        <v>2</v>
      </c>
      <c r="H1604" t="s">
        <v>1548</v>
      </c>
      <c r="I1604" t="s">
        <v>4357</v>
      </c>
      <c r="J1604" s="9"/>
      <c r="K1604" s="9"/>
      <c r="L1604" s="9"/>
    </row>
    <row r="1605" spans="2:12" ht="15" x14ac:dyDescent="0.25">
      <c r="B1605" t="s">
        <v>1519</v>
      </c>
      <c r="C1605" t="s">
        <v>1520</v>
      </c>
      <c r="D1605" t="str">
        <f>HYPERLINK("https://rhld.insurance.arkansas.gov/NPILookup?Npi=1336283498","1336283498")</f>
        <v>1336283498</v>
      </c>
      <c r="E1605" t="s">
        <v>1658</v>
      </c>
      <c r="F1605" t="s">
        <v>12</v>
      </c>
      <c r="G1605" s="20">
        <v>1</v>
      </c>
      <c r="H1605" t="s">
        <v>4338</v>
      </c>
      <c r="I1605" t="s">
        <v>32</v>
      </c>
      <c r="J1605" s="9"/>
      <c r="K1605" s="9"/>
      <c r="L1605" s="9"/>
    </row>
    <row r="1606" spans="2:12" ht="15" x14ac:dyDescent="0.25">
      <c r="B1606" t="s">
        <v>1519</v>
      </c>
      <c r="C1606" t="s">
        <v>1520</v>
      </c>
      <c r="D1606" t="str">
        <f>HYPERLINK("https://rhld.insurance.arkansas.gov/NPILookup?Npi=1336519925","1336519925")</f>
        <v>1336519925</v>
      </c>
      <c r="E1606" t="s">
        <v>1659</v>
      </c>
      <c r="F1606" t="s">
        <v>12</v>
      </c>
      <c r="G1606" s="20">
        <v>1</v>
      </c>
      <c r="H1606" t="s">
        <v>139</v>
      </c>
      <c r="I1606" t="s">
        <v>4357</v>
      </c>
      <c r="J1606" s="9"/>
      <c r="K1606" s="9"/>
      <c r="L1606" s="9"/>
    </row>
    <row r="1607" spans="2:12" ht="15" x14ac:dyDescent="0.25">
      <c r="B1607" t="s">
        <v>1519</v>
      </c>
      <c r="C1607" t="s">
        <v>1520</v>
      </c>
      <c r="D1607" t="str">
        <f>HYPERLINK("https://rhld.insurance.arkansas.gov/NPILookup?Npi=1336867670","1336867670")</f>
        <v>1336867670</v>
      </c>
      <c r="E1607" t="s">
        <v>1660</v>
      </c>
      <c r="F1607" t="s">
        <v>13</v>
      </c>
      <c r="G1607" s="20">
        <v>1</v>
      </c>
      <c r="H1607" t="s">
        <v>1533</v>
      </c>
      <c r="I1607" t="s">
        <v>4357</v>
      </c>
      <c r="J1607" s="9"/>
      <c r="K1607" s="9"/>
      <c r="L1607" s="9"/>
    </row>
    <row r="1608" spans="2:12" ht="15" x14ac:dyDescent="0.25">
      <c r="B1608" t="s">
        <v>1519</v>
      </c>
      <c r="C1608" t="s">
        <v>1520</v>
      </c>
      <c r="D1608" t="str">
        <f>HYPERLINK("https://rhld.insurance.arkansas.gov/NPILookup?Npi=1346056413","1346056413")</f>
        <v>1346056413</v>
      </c>
      <c r="E1608" t="s">
        <v>1661</v>
      </c>
      <c r="F1608" t="s">
        <v>13</v>
      </c>
      <c r="G1608" s="20">
        <v>1</v>
      </c>
      <c r="H1608" t="s">
        <v>1533</v>
      </c>
      <c r="I1608" t="s">
        <v>4357</v>
      </c>
      <c r="J1608" s="9"/>
      <c r="K1608" s="9"/>
      <c r="L1608" s="9"/>
    </row>
    <row r="1609" spans="2:12" ht="15" x14ac:dyDescent="0.25">
      <c r="B1609" t="s">
        <v>1519</v>
      </c>
      <c r="C1609" t="s">
        <v>1520</v>
      </c>
      <c r="D1609" t="str">
        <f>HYPERLINK("https://rhld.insurance.arkansas.gov/NPILookup?Npi=1346566502","1346566502")</f>
        <v>1346566502</v>
      </c>
      <c r="E1609" t="s">
        <v>1662</v>
      </c>
      <c r="F1609" t="s">
        <v>12</v>
      </c>
      <c r="G1609" s="20">
        <v>1</v>
      </c>
      <c r="H1609" t="s">
        <v>4338</v>
      </c>
      <c r="I1609" t="s">
        <v>32</v>
      </c>
      <c r="J1609" s="9"/>
      <c r="K1609" s="9"/>
      <c r="L1609" s="9"/>
    </row>
    <row r="1610" spans="2:12" ht="15" x14ac:dyDescent="0.25">
      <c r="B1610" t="s">
        <v>1519</v>
      </c>
      <c r="C1610" t="s">
        <v>1520</v>
      </c>
      <c r="D1610" t="str">
        <f>HYPERLINK("https://rhld.insurance.arkansas.gov/NPILookup?Npi=1346710274","1346710274")</f>
        <v>1346710274</v>
      </c>
      <c r="E1610" t="s">
        <v>1663</v>
      </c>
      <c r="F1610" t="s">
        <v>13</v>
      </c>
      <c r="G1610" s="20">
        <v>1</v>
      </c>
      <c r="H1610" t="s">
        <v>4357</v>
      </c>
      <c r="I1610" t="s">
        <v>4357</v>
      </c>
      <c r="J1610" s="9"/>
      <c r="K1610" s="9"/>
      <c r="L1610" s="9"/>
    </row>
    <row r="1611" spans="2:12" ht="15" x14ac:dyDescent="0.25">
      <c r="B1611" t="s">
        <v>1519</v>
      </c>
      <c r="C1611" t="s">
        <v>1520</v>
      </c>
      <c r="D1611" t="str">
        <f>HYPERLINK("https://rhld.insurance.arkansas.gov/NPILookup?Npi=1346721545","1346721545")</f>
        <v>1346721545</v>
      </c>
      <c r="E1611" t="s">
        <v>1664</v>
      </c>
      <c r="F1611" t="s">
        <v>13</v>
      </c>
      <c r="G1611" s="20">
        <v>1</v>
      </c>
      <c r="H1611" t="s">
        <v>1533</v>
      </c>
      <c r="I1611" t="s">
        <v>32</v>
      </c>
      <c r="J1611" s="9"/>
      <c r="K1611" s="9"/>
      <c r="L1611" s="9"/>
    </row>
    <row r="1612" spans="2:12" ht="15" x14ac:dyDescent="0.25">
      <c r="B1612" t="s">
        <v>1519</v>
      </c>
      <c r="C1612" t="s">
        <v>1520</v>
      </c>
      <c r="D1612" t="str">
        <f>HYPERLINK("https://rhld.insurance.arkansas.gov/NPILookup?Npi=1346859147","1346859147")</f>
        <v>1346859147</v>
      </c>
      <c r="E1612" t="s">
        <v>1665</v>
      </c>
      <c r="F1612" t="s">
        <v>12</v>
      </c>
      <c r="G1612" s="20">
        <v>1</v>
      </c>
      <c r="H1612" t="s">
        <v>4338</v>
      </c>
      <c r="I1612" t="s">
        <v>32</v>
      </c>
      <c r="J1612" s="9"/>
      <c r="K1612" s="9"/>
      <c r="L1612" s="9"/>
    </row>
    <row r="1613" spans="2:12" ht="15" x14ac:dyDescent="0.25">
      <c r="B1613" t="s">
        <v>1519</v>
      </c>
      <c r="C1613" t="s">
        <v>1520</v>
      </c>
      <c r="D1613" t="str">
        <f>HYPERLINK("https://rhld.insurance.arkansas.gov/NPILookup?Npi=1346962313","1346962313")</f>
        <v>1346962313</v>
      </c>
      <c r="E1613" t="s">
        <v>1666</v>
      </c>
      <c r="F1613" t="s">
        <v>13</v>
      </c>
      <c r="G1613" s="20">
        <v>1</v>
      </c>
      <c r="H1613" t="s">
        <v>4357</v>
      </c>
      <c r="I1613" t="s">
        <v>4357</v>
      </c>
      <c r="J1613" s="9"/>
      <c r="K1613" s="9"/>
      <c r="L1613" s="9"/>
    </row>
    <row r="1614" spans="2:12" ht="15" x14ac:dyDescent="0.25">
      <c r="B1614" t="s">
        <v>1519</v>
      </c>
      <c r="C1614" t="s">
        <v>1520</v>
      </c>
      <c r="D1614" t="str">
        <f>HYPERLINK("https://rhld.insurance.arkansas.gov/NPILookup?Npi=1356008668","1356008668")</f>
        <v>1356008668</v>
      </c>
      <c r="E1614" t="s">
        <v>1667</v>
      </c>
      <c r="F1614" t="s">
        <v>12</v>
      </c>
      <c r="G1614" s="20">
        <v>1</v>
      </c>
      <c r="H1614" t="s">
        <v>4338</v>
      </c>
      <c r="I1614" t="s">
        <v>32</v>
      </c>
      <c r="J1614" s="9"/>
      <c r="K1614" s="9"/>
      <c r="L1614" s="9"/>
    </row>
    <row r="1615" spans="2:12" ht="15" x14ac:dyDescent="0.25">
      <c r="B1615" t="s">
        <v>1519</v>
      </c>
      <c r="C1615" t="s">
        <v>1520</v>
      </c>
      <c r="D1615" t="str">
        <f>HYPERLINK("https://rhld.insurance.arkansas.gov/NPILookup?Npi=1356149488","1356149488")</f>
        <v>1356149488</v>
      </c>
      <c r="E1615" t="s">
        <v>1668</v>
      </c>
      <c r="F1615" t="s">
        <v>13</v>
      </c>
      <c r="G1615" s="20">
        <v>1</v>
      </c>
      <c r="H1615" t="s">
        <v>4357</v>
      </c>
      <c r="I1615" t="s">
        <v>4357</v>
      </c>
      <c r="J1615" s="9"/>
      <c r="K1615" s="9"/>
      <c r="L1615" s="9"/>
    </row>
    <row r="1616" spans="2:12" ht="15" x14ac:dyDescent="0.25">
      <c r="B1616" t="s">
        <v>1519</v>
      </c>
      <c r="C1616" t="s">
        <v>1520</v>
      </c>
      <c r="D1616" t="str">
        <f>HYPERLINK("https://rhld.insurance.arkansas.gov/NPILookup?Npi=1356155105","1356155105")</f>
        <v>1356155105</v>
      </c>
      <c r="E1616" t="s">
        <v>1669</v>
      </c>
      <c r="F1616" t="s">
        <v>13</v>
      </c>
      <c r="G1616" s="20">
        <v>1</v>
      </c>
      <c r="H1616" t="s">
        <v>4357</v>
      </c>
      <c r="I1616" t="s">
        <v>4357</v>
      </c>
      <c r="J1616" s="9"/>
      <c r="K1616" s="9"/>
      <c r="L1616" s="9"/>
    </row>
    <row r="1617" spans="2:12" ht="15" x14ac:dyDescent="0.25">
      <c r="B1617" t="s">
        <v>1519</v>
      </c>
      <c r="C1617" t="s">
        <v>1520</v>
      </c>
      <c r="D1617" t="str">
        <f>HYPERLINK("https://rhld.insurance.arkansas.gov/NPILookup?Npi=1356516058","1356516058")</f>
        <v>1356516058</v>
      </c>
      <c r="E1617" t="s">
        <v>1670</v>
      </c>
      <c r="F1617" t="s">
        <v>12</v>
      </c>
      <c r="G1617" s="20">
        <v>1</v>
      </c>
      <c r="H1617" t="s">
        <v>4338</v>
      </c>
      <c r="I1617" t="s">
        <v>32</v>
      </c>
      <c r="J1617" s="9"/>
      <c r="K1617" s="9"/>
      <c r="L1617" s="9"/>
    </row>
    <row r="1618" spans="2:12" ht="15" x14ac:dyDescent="0.25">
      <c r="B1618" t="s">
        <v>1519</v>
      </c>
      <c r="C1618" t="s">
        <v>1520</v>
      </c>
      <c r="D1618" t="str">
        <f>HYPERLINK("https://rhld.insurance.arkansas.gov/NPILookup?Npi=1366033516","1366033516")</f>
        <v>1366033516</v>
      </c>
      <c r="E1618" t="s">
        <v>1671</v>
      </c>
      <c r="F1618" t="s">
        <v>13</v>
      </c>
      <c r="G1618" s="20">
        <v>1</v>
      </c>
      <c r="H1618" t="s">
        <v>4357</v>
      </c>
      <c r="I1618" t="s">
        <v>4357</v>
      </c>
      <c r="J1618" s="9"/>
      <c r="K1618" s="9"/>
      <c r="L1618" s="9"/>
    </row>
    <row r="1619" spans="2:12" ht="15" x14ac:dyDescent="0.25">
      <c r="B1619" t="s">
        <v>1519</v>
      </c>
      <c r="C1619" t="s">
        <v>1520</v>
      </c>
      <c r="D1619" t="str">
        <f>HYPERLINK("https://rhld.insurance.arkansas.gov/NPILookup?Npi=1366151805","1366151805")</f>
        <v>1366151805</v>
      </c>
      <c r="E1619" t="s">
        <v>1672</v>
      </c>
      <c r="F1619" t="s">
        <v>13</v>
      </c>
      <c r="G1619" s="20">
        <v>1</v>
      </c>
      <c r="H1619" t="s">
        <v>4357</v>
      </c>
      <c r="I1619" t="s">
        <v>4357</v>
      </c>
      <c r="J1619" s="9"/>
      <c r="K1619" s="9"/>
      <c r="L1619" s="9"/>
    </row>
    <row r="1620" spans="2:12" ht="15" x14ac:dyDescent="0.25">
      <c r="B1620" t="s">
        <v>1519</v>
      </c>
      <c r="C1620" t="s">
        <v>1520</v>
      </c>
      <c r="D1620" t="str">
        <f>HYPERLINK("https://rhld.insurance.arkansas.gov/NPILookup?Npi=1366164832","1366164832")</f>
        <v>1366164832</v>
      </c>
      <c r="E1620" t="s">
        <v>1673</v>
      </c>
      <c r="F1620" t="s">
        <v>13</v>
      </c>
      <c r="G1620" s="20">
        <v>1</v>
      </c>
      <c r="H1620" t="s">
        <v>4357</v>
      </c>
      <c r="I1620" t="s">
        <v>4357</v>
      </c>
      <c r="J1620" s="9"/>
      <c r="K1620" s="9"/>
      <c r="L1620" s="9"/>
    </row>
    <row r="1621" spans="2:12" ht="15" x14ac:dyDescent="0.25">
      <c r="B1621" t="s">
        <v>1519</v>
      </c>
      <c r="C1621" t="s">
        <v>1520</v>
      </c>
      <c r="D1621" t="str">
        <f>HYPERLINK("https://rhld.insurance.arkansas.gov/NPILookup?Npi=1366222051","1366222051")</f>
        <v>1366222051</v>
      </c>
      <c r="E1621" t="s">
        <v>1674</v>
      </c>
      <c r="F1621" t="s">
        <v>13</v>
      </c>
      <c r="G1621" s="20">
        <v>1</v>
      </c>
      <c r="H1621" t="s">
        <v>1533</v>
      </c>
      <c r="I1621" t="s">
        <v>4357</v>
      </c>
      <c r="J1621" s="9"/>
      <c r="K1621" s="9"/>
      <c r="L1621" s="9"/>
    </row>
    <row r="1622" spans="2:12" ht="15" x14ac:dyDescent="0.25">
      <c r="B1622" t="s">
        <v>1519</v>
      </c>
      <c r="C1622" t="s">
        <v>1520</v>
      </c>
      <c r="D1622" t="str">
        <f>HYPERLINK("https://rhld.insurance.arkansas.gov/NPILookup?Npi=1366250045","1366250045")</f>
        <v>1366250045</v>
      </c>
      <c r="E1622" t="s">
        <v>1655</v>
      </c>
      <c r="F1622" t="s">
        <v>13</v>
      </c>
      <c r="G1622" s="20">
        <v>1</v>
      </c>
      <c r="H1622" t="s">
        <v>4357</v>
      </c>
      <c r="I1622" t="s">
        <v>4357</v>
      </c>
      <c r="J1622" s="9"/>
      <c r="K1622" s="9"/>
      <c r="L1622" s="9"/>
    </row>
    <row r="1623" spans="2:12" ht="15" x14ac:dyDescent="0.25">
      <c r="B1623" t="s">
        <v>1519</v>
      </c>
      <c r="C1623" t="s">
        <v>1520</v>
      </c>
      <c r="D1623" t="str">
        <f>HYPERLINK("https://rhld.insurance.arkansas.gov/NPILookup?Npi=1376070391","1376070391")</f>
        <v>1376070391</v>
      </c>
      <c r="E1623" t="s">
        <v>1675</v>
      </c>
      <c r="F1623" t="s">
        <v>12</v>
      </c>
      <c r="G1623" s="20">
        <v>1</v>
      </c>
      <c r="H1623" t="s">
        <v>4338</v>
      </c>
      <c r="I1623" t="s">
        <v>32</v>
      </c>
      <c r="J1623" s="9"/>
      <c r="K1623" s="9"/>
      <c r="L1623" s="9"/>
    </row>
    <row r="1624" spans="2:12" ht="15" x14ac:dyDescent="0.25">
      <c r="B1624" t="s">
        <v>1519</v>
      </c>
      <c r="C1624" t="s">
        <v>1520</v>
      </c>
      <c r="D1624" t="str">
        <f>HYPERLINK("https://rhld.insurance.arkansas.gov/NPILookup?Npi=1376111500","1376111500")</f>
        <v>1376111500</v>
      </c>
      <c r="E1624" t="s">
        <v>1676</v>
      </c>
      <c r="F1624" t="s">
        <v>12</v>
      </c>
      <c r="G1624" s="20">
        <v>1</v>
      </c>
      <c r="H1624" t="s">
        <v>4338</v>
      </c>
      <c r="I1624" t="s">
        <v>32</v>
      </c>
      <c r="J1624" s="9"/>
      <c r="K1624" s="9"/>
      <c r="L1624" s="9"/>
    </row>
    <row r="1625" spans="2:12" ht="15" x14ac:dyDescent="0.25">
      <c r="B1625" t="s">
        <v>1519</v>
      </c>
      <c r="C1625" t="s">
        <v>1520</v>
      </c>
      <c r="D1625" t="str">
        <f>HYPERLINK("https://rhld.insurance.arkansas.gov/NPILookup?Npi=1376246389","1376246389")</f>
        <v>1376246389</v>
      </c>
      <c r="E1625" t="s">
        <v>1677</v>
      </c>
      <c r="F1625" t="s">
        <v>13</v>
      </c>
      <c r="G1625" s="20">
        <v>1</v>
      </c>
      <c r="H1625" t="s">
        <v>4357</v>
      </c>
      <c r="I1625" t="s">
        <v>4357</v>
      </c>
      <c r="J1625" s="9"/>
      <c r="K1625" s="9"/>
      <c r="L1625" s="9"/>
    </row>
    <row r="1626" spans="2:12" ht="15" x14ac:dyDescent="0.25">
      <c r="B1626" t="s">
        <v>1519</v>
      </c>
      <c r="C1626" t="s">
        <v>1520</v>
      </c>
      <c r="D1626" t="str">
        <f>HYPERLINK("https://rhld.insurance.arkansas.gov/NPILookup?Npi=1376276956","1376276956")</f>
        <v>1376276956</v>
      </c>
      <c r="E1626" t="s">
        <v>1678</v>
      </c>
      <c r="F1626" t="s">
        <v>13</v>
      </c>
      <c r="G1626" s="20">
        <v>1</v>
      </c>
      <c r="H1626" t="s">
        <v>1533</v>
      </c>
      <c r="I1626" t="s">
        <v>4357</v>
      </c>
      <c r="J1626" s="9"/>
      <c r="K1626" s="9"/>
      <c r="L1626" s="9"/>
    </row>
    <row r="1627" spans="2:12" ht="15" x14ac:dyDescent="0.25">
      <c r="B1627" t="s">
        <v>1519</v>
      </c>
      <c r="C1627" t="s">
        <v>1520</v>
      </c>
      <c r="D1627" t="str">
        <f>HYPERLINK("https://rhld.insurance.arkansas.gov/NPILookup?Npi=1376568139","1376568139")</f>
        <v>1376568139</v>
      </c>
      <c r="E1627" t="s">
        <v>1679</v>
      </c>
      <c r="F1627" t="s">
        <v>12</v>
      </c>
      <c r="G1627" s="20">
        <v>1</v>
      </c>
      <c r="H1627" t="s">
        <v>4338</v>
      </c>
      <c r="I1627" t="s">
        <v>32</v>
      </c>
      <c r="J1627" s="9"/>
      <c r="K1627" s="9"/>
      <c r="L1627" s="9"/>
    </row>
    <row r="1628" spans="2:12" ht="15" x14ac:dyDescent="0.25">
      <c r="B1628" t="s">
        <v>1519</v>
      </c>
      <c r="C1628" t="s">
        <v>1520</v>
      </c>
      <c r="D1628" t="str">
        <f>HYPERLINK("https://rhld.insurance.arkansas.gov/NPILookup?Npi=1376749333","1376749333")</f>
        <v>1376749333</v>
      </c>
      <c r="E1628" t="s">
        <v>1227</v>
      </c>
      <c r="F1628" t="s">
        <v>12</v>
      </c>
      <c r="G1628" s="20">
        <v>1</v>
      </c>
      <c r="H1628" t="s">
        <v>4338</v>
      </c>
      <c r="I1628" t="s">
        <v>32</v>
      </c>
      <c r="J1628" s="9"/>
      <c r="K1628" s="9"/>
      <c r="L1628" s="9"/>
    </row>
    <row r="1629" spans="2:12" ht="15" x14ac:dyDescent="0.25">
      <c r="B1629" t="s">
        <v>1519</v>
      </c>
      <c r="C1629" t="s">
        <v>1520</v>
      </c>
      <c r="D1629" t="str">
        <f>HYPERLINK("https://rhld.insurance.arkansas.gov/NPILookup?Npi=1376841247","1376841247")</f>
        <v>1376841247</v>
      </c>
      <c r="E1629" t="s">
        <v>1680</v>
      </c>
      <c r="F1629" t="s">
        <v>12</v>
      </c>
      <c r="G1629" s="20">
        <v>1</v>
      </c>
      <c r="H1629" t="s">
        <v>4338</v>
      </c>
      <c r="I1629" t="s">
        <v>32</v>
      </c>
      <c r="J1629" s="9"/>
      <c r="K1629" s="9"/>
      <c r="L1629" s="9"/>
    </row>
    <row r="1630" spans="2:12" ht="15" x14ac:dyDescent="0.25">
      <c r="B1630" t="s">
        <v>1519</v>
      </c>
      <c r="C1630" t="s">
        <v>1520</v>
      </c>
      <c r="D1630" t="str">
        <f>HYPERLINK("https://rhld.insurance.arkansas.gov/NPILookup?Npi=1386153393","1386153393")</f>
        <v>1386153393</v>
      </c>
      <c r="E1630" t="s">
        <v>1682</v>
      </c>
      <c r="F1630" t="s">
        <v>13</v>
      </c>
      <c r="G1630" s="20">
        <v>1</v>
      </c>
      <c r="H1630" t="s">
        <v>1533</v>
      </c>
      <c r="I1630" t="s">
        <v>32</v>
      </c>
      <c r="J1630" s="9"/>
      <c r="K1630" s="9"/>
      <c r="L1630" s="9"/>
    </row>
    <row r="1631" spans="2:12" ht="15" x14ac:dyDescent="0.25">
      <c r="B1631" t="s">
        <v>1519</v>
      </c>
      <c r="C1631" t="s">
        <v>1520</v>
      </c>
      <c r="D1631" t="str">
        <f>HYPERLINK("https://rhld.insurance.arkansas.gov/NPILookup?Npi=1396572707","1396572707")</f>
        <v>1396572707</v>
      </c>
      <c r="E1631" t="s">
        <v>1683</v>
      </c>
      <c r="F1631" t="s">
        <v>13</v>
      </c>
      <c r="G1631" s="20">
        <v>2</v>
      </c>
      <c r="H1631" t="s">
        <v>1548</v>
      </c>
      <c r="I1631" t="s">
        <v>4357</v>
      </c>
      <c r="J1631" s="9"/>
      <c r="K1631" s="9"/>
      <c r="L1631" s="9"/>
    </row>
    <row r="1632" spans="2:12" ht="15" x14ac:dyDescent="0.25">
      <c r="B1632" t="s">
        <v>1519</v>
      </c>
      <c r="C1632" t="s">
        <v>1520</v>
      </c>
      <c r="D1632" t="str">
        <f>HYPERLINK("https://rhld.insurance.arkansas.gov/NPILookup?Npi=1407324114","1407324114")</f>
        <v>1407324114</v>
      </c>
      <c r="E1632" t="s">
        <v>1684</v>
      </c>
      <c r="F1632" t="s">
        <v>13</v>
      </c>
      <c r="G1632" s="20">
        <v>1</v>
      </c>
      <c r="H1632" t="s">
        <v>4357</v>
      </c>
      <c r="I1632" t="s">
        <v>4357</v>
      </c>
      <c r="J1632" s="9"/>
      <c r="K1632" s="9"/>
      <c r="L1632" s="9"/>
    </row>
    <row r="1633" spans="2:12" ht="15" x14ac:dyDescent="0.25">
      <c r="B1633" t="s">
        <v>1519</v>
      </c>
      <c r="C1633" t="s">
        <v>1520</v>
      </c>
      <c r="D1633" t="str">
        <f>HYPERLINK("https://rhld.insurance.arkansas.gov/NPILookup?Npi=1407360191","1407360191")</f>
        <v>1407360191</v>
      </c>
      <c r="E1633" t="s">
        <v>1685</v>
      </c>
      <c r="F1633" t="s">
        <v>12</v>
      </c>
      <c r="G1633" s="20">
        <v>1</v>
      </c>
      <c r="H1633" t="s">
        <v>4338</v>
      </c>
      <c r="I1633" t="s">
        <v>32</v>
      </c>
      <c r="J1633" s="9"/>
      <c r="K1633" s="9"/>
      <c r="L1633" s="9"/>
    </row>
    <row r="1634" spans="2:12" ht="15" x14ac:dyDescent="0.25">
      <c r="B1634" t="s">
        <v>1519</v>
      </c>
      <c r="C1634" t="s">
        <v>1520</v>
      </c>
      <c r="D1634" t="str">
        <f>HYPERLINK("https://rhld.insurance.arkansas.gov/NPILookup?Npi=1407448061","1407448061")</f>
        <v>1407448061</v>
      </c>
      <c r="E1634" t="s">
        <v>1686</v>
      </c>
      <c r="F1634" t="s">
        <v>13</v>
      </c>
      <c r="G1634" s="20">
        <v>1</v>
      </c>
      <c r="H1634" t="s">
        <v>4357</v>
      </c>
      <c r="I1634" t="s">
        <v>4357</v>
      </c>
      <c r="J1634" s="9"/>
      <c r="K1634" s="9"/>
      <c r="L1634" s="9"/>
    </row>
    <row r="1635" spans="2:12" ht="15" x14ac:dyDescent="0.25">
      <c r="B1635" t="s">
        <v>1519</v>
      </c>
      <c r="C1635" t="s">
        <v>1520</v>
      </c>
      <c r="D1635" t="str">
        <f>HYPERLINK("https://rhld.insurance.arkansas.gov/NPILookup?Npi=1407488026","1407488026")</f>
        <v>1407488026</v>
      </c>
      <c r="E1635" t="s">
        <v>1687</v>
      </c>
      <c r="F1635" t="s">
        <v>13</v>
      </c>
      <c r="G1635" s="20">
        <v>1</v>
      </c>
      <c r="H1635" t="s">
        <v>4357</v>
      </c>
      <c r="I1635" t="s">
        <v>4357</v>
      </c>
      <c r="J1635" s="9"/>
      <c r="K1635" s="9"/>
      <c r="L1635" s="9"/>
    </row>
    <row r="1636" spans="2:12" ht="15" x14ac:dyDescent="0.25">
      <c r="B1636" t="s">
        <v>1519</v>
      </c>
      <c r="C1636" t="s">
        <v>1520</v>
      </c>
      <c r="D1636" t="str">
        <f>HYPERLINK("https://rhld.insurance.arkansas.gov/NPILookup?Npi=1407589732","1407589732")</f>
        <v>1407589732</v>
      </c>
      <c r="E1636" t="s">
        <v>1688</v>
      </c>
      <c r="F1636" t="s">
        <v>13</v>
      </c>
      <c r="G1636" s="20">
        <v>1</v>
      </c>
      <c r="H1636" t="s">
        <v>4357</v>
      </c>
      <c r="I1636" t="s">
        <v>4357</v>
      </c>
      <c r="J1636" s="9"/>
      <c r="K1636" s="9"/>
      <c r="L1636" s="9"/>
    </row>
    <row r="1637" spans="2:12" ht="15" x14ac:dyDescent="0.25">
      <c r="B1637" t="s">
        <v>1519</v>
      </c>
      <c r="C1637" t="s">
        <v>1520</v>
      </c>
      <c r="D1637" t="str">
        <f>HYPERLINK("https://rhld.insurance.arkansas.gov/NPILookup?Npi=1407663602","1407663602")</f>
        <v>1407663602</v>
      </c>
      <c r="E1637" t="s">
        <v>1689</v>
      </c>
      <c r="F1637" t="s">
        <v>13</v>
      </c>
      <c r="G1637" s="20">
        <v>1</v>
      </c>
      <c r="H1637" t="s">
        <v>1533</v>
      </c>
      <c r="I1637" t="s">
        <v>4357</v>
      </c>
      <c r="J1637" s="9"/>
      <c r="K1637" s="9"/>
      <c r="L1637" s="9"/>
    </row>
    <row r="1638" spans="2:12" ht="15" x14ac:dyDescent="0.25">
      <c r="B1638" t="s">
        <v>1519</v>
      </c>
      <c r="C1638" t="s">
        <v>1520</v>
      </c>
      <c r="D1638" t="str">
        <f>HYPERLINK("https://rhld.insurance.arkansas.gov/NPILookup?Npi=1417183641","1417183641")</f>
        <v>1417183641</v>
      </c>
      <c r="E1638" t="s">
        <v>1690</v>
      </c>
      <c r="F1638" t="s">
        <v>12</v>
      </c>
      <c r="G1638" s="20">
        <v>1</v>
      </c>
      <c r="H1638" t="s">
        <v>1691</v>
      </c>
      <c r="I1638" t="s">
        <v>32</v>
      </c>
      <c r="J1638" s="9"/>
      <c r="K1638" s="9"/>
      <c r="L1638" s="9"/>
    </row>
    <row r="1639" spans="2:12" ht="15" x14ac:dyDescent="0.25">
      <c r="B1639" t="s">
        <v>1519</v>
      </c>
      <c r="C1639" t="s">
        <v>1520</v>
      </c>
      <c r="D1639" t="str">
        <f>HYPERLINK("https://rhld.insurance.arkansas.gov/NPILookup?Npi=1417218579","1417218579")</f>
        <v>1417218579</v>
      </c>
      <c r="E1639" t="s">
        <v>1692</v>
      </c>
      <c r="F1639" t="s">
        <v>13</v>
      </c>
      <c r="G1639" s="20">
        <v>1</v>
      </c>
      <c r="H1639" t="s">
        <v>4357</v>
      </c>
      <c r="I1639" t="s">
        <v>4357</v>
      </c>
      <c r="J1639" s="9"/>
      <c r="K1639" s="9"/>
      <c r="L1639" s="9"/>
    </row>
    <row r="1640" spans="2:12" ht="15" x14ac:dyDescent="0.25">
      <c r="B1640" t="s">
        <v>1519</v>
      </c>
      <c r="C1640" t="s">
        <v>1520</v>
      </c>
      <c r="D1640" t="str">
        <f>HYPERLINK("https://rhld.insurance.arkansas.gov/NPILookup?Npi=1417373283","1417373283")</f>
        <v>1417373283</v>
      </c>
      <c r="E1640" t="s">
        <v>1693</v>
      </c>
      <c r="F1640" t="s">
        <v>13</v>
      </c>
      <c r="G1640" s="20">
        <v>1</v>
      </c>
      <c r="H1640" t="s">
        <v>1533</v>
      </c>
      <c r="I1640" t="s">
        <v>4357</v>
      </c>
      <c r="J1640" s="9"/>
      <c r="K1640" s="9"/>
      <c r="L1640" s="9"/>
    </row>
    <row r="1641" spans="2:12" ht="15" x14ac:dyDescent="0.25">
      <c r="B1641" t="s">
        <v>1519</v>
      </c>
      <c r="C1641" t="s">
        <v>1520</v>
      </c>
      <c r="D1641" t="str">
        <f>HYPERLINK("https://rhld.insurance.arkansas.gov/NPILookup?Npi=1417547589","1417547589")</f>
        <v>1417547589</v>
      </c>
      <c r="E1641" t="s">
        <v>1694</v>
      </c>
      <c r="F1641" t="s">
        <v>13</v>
      </c>
      <c r="G1641" s="20">
        <v>1</v>
      </c>
      <c r="H1641" t="s">
        <v>1533</v>
      </c>
      <c r="I1641" t="s">
        <v>4357</v>
      </c>
      <c r="J1641" s="9"/>
      <c r="K1641" s="9"/>
      <c r="L1641" s="9"/>
    </row>
    <row r="1642" spans="2:12" ht="15" x14ac:dyDescent="0.25">
      <c r="B1642" t="s">
        <v>1519</v>
      </c>
      <c r="C1642" t="s">
        <v>1520</v>
      </c>
      <c r="D1642" t="str">
        <f>HYPERLINK("https://rhld.insurance.arkansas.gov/NPILookup?Npi=1417776311","1417776311")</f>
        <v>1417776311</v>
      </c>
      <c r="E1642" t="s">
        <v>1695</v>
      </c>
      <c r="F1642" t="s">
        <v>13</v>
      </c>
      <c r="G1642" s="20">
        <v>2</v>
      </c>
      <c r="H1642" t="s">
        <v>1548</v>
      </c>
      <c r="I1642" t="s">
        <v>4357</v>
      </c>
      <c r="J1642" s="9"/>
      <c r="K1642" s="9"/>
      <c r="L1642" s="9"/>
    </row>
    <row r="1643" spans="2:12" ht="15" x14ac:dyDescent="0.25">
      <c r="B1643" t="s">
        <v>1519</v>
      </c>
      <c r="C1643" t="s">
        <v>1520</v>
      </c>
      <c r="D1643" t="str">
        <f>HYPERLINK("https://rhld.insurance.arkansas.gov/NPILookup?Npi=1427019371","1427019371")</f>
        <v>1427019371</v>
      </c>
      <c r="E1643" t="s">
        <v>1696</v>
      </c>
      <c r="F1643" t="s">
        <v>12</v>
      </c>
      <c r="G1643" s="20">
        <v>1</v>
      </c>
      <c r="H1643" t="s">
        <v>4338</v>
      </c>
      <c r="I1643" t="s">
        <v>32</v>
      </c>
      <c r="J1643" s="9"/>
      <c r="K1643" s="9"/>
      <c r="L1643" s="9"/>
    </row>
    <row r="1644" spans="2:12" ht="15" x14ac:dyDescent="0.25">
      <c r="B1644" t="s">
        <v>1519</v>
      </c>
      <c r="C1644" t="s">
        <v>1520</v>
      </c>
      <c r="D1644" t="str">
        <f>HYPERLINK("https://rhld.insurance.arkansas.gov/NPILookup?Npi=1427144005","1427144005")</f>
        <v>1427144005</v>
      </c>
      <c r="E1644" t="s">
        <v>1697</v>
      </c>
      <c r="F1644" t="s">
        <v>12</v>
      </c>
      <c r="G1644" s="20">
        <v>1</v>
      </c>
      <c r="H1644" t="s">
        <v>4338</v>
      </c>
      <c r="I1644" t="s">
        <v>32</v>
      </c>
      <c r="J1644" s="9"/>
      <c r="K1644" s="9"/>
      <c r="L1644" s="9"/>
    </row>
    <row r="1645" spans="2:12" ht="15" x14ac:dyDescent="0.25">
      <c r="B1645" t="s">
        <v>1519</v>
      </c>
      <c r="C1645" t="s">
        <v>1520</v>
      </c>
      <c r="D1645" t="str">
        <f>HYPERLINK("https://rhld.insurance.arkansas.gov/NPILookup?Npi=1427447564","1427447564")</f>
        <v>1427447564</v>
      </c>
      <c r="E1645" t="s">
        <v>1698</v>
      </c>
      <c r="F1645" t="s">
        <v>13</v>
      </c>
      <c r="G1645" s="20">
        <v>1</v>
      </c>
      <c r="H1645" t="s">
        <v>87</v>
      </c>
      <c r="I1645" t="s">
        <v>4357</v>
      </c>
      <c r="J1645" s="9"/>
      <c r="K1645" s="9"/>
      <c r="L1645" s="9"/>
    </row>
    <row r="1646" spans="2:12" ht="15" x14ac:dyDescent="0.25">
      <c r="B1646" t="s">
        <v>1519</v>
      </c>
      <c r="C1646" t="s">
        <v>1520</v>
      </c>
      <c r="D1646" t="str">
        <f>HYPERLINK("https://rhld.insurance.arkansas.gov/NPILookup?Npi=1427577089","1427577089")</f>
        <v>1427577089</v>
      </c>
      <c r="E1646" t="s">
        <v>1699</v>
      </c>
      <c r="F1646" t="s">
        <v>12</v>
      </c>
      <c r="G1646" s="20">
        <v>1</v>
      </c>
      <c r="H1646" t="s">
        <v>4338</v>
      </c>
      <c r="I1646" t="s">
        <v>32</v>
      </c>
      <c r="J1646" s="9"/>
      <c r="K1646" s="9"/>
      <c r="L1646" s="9"/>
    </row>
    <row r="1647" spans="2:12" ht="15" x14ac:dyDescent="0.25">
      <c r="B1647" t="s">
        <v>1519</v>
      </c>
      <c r="C1647" t="s">
        <v>1520</v>
      </c>
      <c r="D1647" t="str">
        <f>HYPERLINK("https://rhld.insurance.arkansas.gov/NPILookup?Npi=1427792340","1427792340")</f>
        <v>1427792340</v>
      </c>
      <c r="E1647" t="s">
        <v>1700</v>
      </c>
      <c r="F1647" t="s">
        <v>12</v>
      </c>
      <c r="G1647" s="20">
        <v>1</v>
      </c>
      <c r="H1647" t="s">
        <v>139</v>
      </c>
      <c r="I1647" t="s">
        <v>4357</v>
      </c>
      <c r="J1647" s="9"/>
      <c r="K1647" s="9"/>
      <c r="L1647" s="9"/>
    </row>
    <row r="1648" spans="2:12" ht="15" x14ac:dyDescent="0.25">
      <c r="B1648" t="s">
        <v>1519</v>
      </c>
      <c r="C1648" t="s">
        <v>1520</v>
      </c>
      <c r="D1648" t="str">
        <f>HYPERLINK("https://rhld.insurance.arkansas.gov/NPILookup?Npi=1437213113","1437213113")</f>
        <v>1437213113</v>
      </c>
      <c r="E1648" t="s">
        <v>1701</v>
      </c>
      <c r="F1648" t="s">
        <v>12</v>
      </c>
      <c r="G1648" s="20">
        <v>1</v>
      </c>
      <c r="H1648" t="s">
        <v>4338</v>
      </c>
      <c r="I1648" t="s">
        <v>32</v>
      </c>
      <c r="J1648" s="9"/>
      <c r="K1648" s="9"/>
      <c r="L1648" s="9"/>
    </row>
    <row r="1649" spans="2:12" ht="15" x14ac:dyDescent="0.25">
      <c r="B1649" t="s">
        <v>1519</v>
      </c>
      <c r="C1649" t="s">
        <v>1520</v>
      </c>
      <c r="D1649" t="str">
        <f>HYPERLINK("https://rhld.insurance.arkansas.gov/NPILookup?Npi=1437285806","1437285806")</f>
        <v>1437285806</v>
      </c>
      <c r="E1649" t="s">
        <v>1297</v>
      </c>
      <c r="F1649" t="s">
        <v>12</v>
      </c>
      <c r="G1649" s="20">
        <v>1</v>
      </c>
      <c r="H1649" t="s">
        <v>139</v>
      </c>
      <c r="I1649" t="s">
        <v>4357</v>
      </c>
      <c r="J1649" s="9"/>
      <c r="K1649" s="9"/>
      <c r="L1649" s="9"/>
    </row>
    <row r="1650" spans="2:12" ht="15" x14ac:dyDescent="0.25">
      <c r="B1650" t="s">
        <v>1519</v>
      </c>
      <c r="C1650" t="s">
        <v>1520</v>
      </c>
      <c r="D1650" t="str">
        <f>HYPERLINK("https://rhld.insurance.arkansas.gov/NPILookup?Npi=1437388204","1437388204")</f>
        <v>1437388204</v>
      </c>
      <c r="E1650" t="s">
        <v>1702</v>
      </c>
      <c r="F1650" t="s">
        <v>13</v>
      </c>
      <c r="G1650" s="20">
        <v>1</v>
      </c>
      <c r="H1650" t="s">
        <v>1533</v>
      </c>
      <c r="I1650" t="s">
        <v>32</v>
      </c>
      <c r="J1650" s="9"/>
      <c r="K1650" s="9"/>
      <c r="L1650" s="9"/>
    </row>
    <row r="1651" spans="2:12" ht="15" x14ac:dyDescent="0.25">
      <c r="B1651" t="s">
        <v>1519</v>
      </c>
      <c r="C1651" t="s">
        <v>1520</v>
      </c>
      <c r="D1651" t="str">
        <f>HYPERLINK("https://rhld.insurance.arkansas.gov/NPILookup?Npi=1437848892","1437848892")</f>
        <v>1437848892</v>
      </c>
      <c r="E1651" t="s">
        <v>1704</v>
      </c>
      <c r="F1651" t="s">
        <v>13</v>
      </c>
      <c r="G1651" s="20">
        <v>1</v>
      </c>
      <c r="H1651" t="s">
        <v>4357</v>
      </c>
      <c r="I1651" t="s">
        <v>4357</v>
      </c>
      <c r="J1651" s="9"/>
      <c r="K1651" s="9"/>
      <c r="L1651" s="9"/>
    </row>
    <row r="1652" spans="2:12" ht="15" x14ac:dyDescent="0.25">
      <c r="B1652" t="s">
        <v>1519</v>
      </c>
      <c r="C1652" t="s">
        <v>1520</v>
      </c>
      <c r="D1652" t="str">
        <f>HYPERLINK("https://rhld.insurance.arkansas.gov/NPILookup?Npi=1447765144","1447765144")</f>
        <v>1447765144</v>
      </c>
      <c r="E1652" t="s">
        <v>1705</v>
      </c>
      <c r="F1652" t="s">
        <v>13</v>
      </c>
      <c r="G1652" s="20">
        <v>1</v>
      </c>
      <c r="H1652" t="s">
        <v>4357</v>
      </c>
      <c r="I1652" t="s">
        <v>4357</v>
      </c>
      <c r="J1652" s="9"/>
      <c r="K1652" s="9"/>
      <c r="L1652" s="9"/>
    </row>
    <row r="1653" spans="2:12" ht="15" x14ac:dyDescent="0.25">
      <c r="B1653" t="s">
        <v>1519</v>
      </c>
      <c r="C1653" t="s">
        <v>1520</v>
      </c>
      <c r="D1653" t="str">
        <f>HYPERLINK("https://rhld.insurance.arkansas.gov/NPILookup?Npi=1447782321","1447782321")</f>
        <v>1447782321</v>
      </c>
      <c r="E1653" t="s">
        <v>1706</v>
      </c>
      <c r="F1653" t="s">
        <v>13</v>
      </c>
      <c r="G1653" s="20">
        <v>1</v>
      </c>
      <c r="H1653" t="s">
        <v>4357</v>
      </c>
      <c r="I1653" t="s">
        <v>4357</v>
      </c>
      <c r="J1653" s="9"/>
      <c r="K1653" s="9"/>
      <c r="L1653" s="9"/>
    </row>
    <row r="1654" spans="2:12" ht="15" x14ac:dyDescent="0.25">
      <c r="B1654" t="s">
        <v>1519</v>
      </c>
      <c r="C1654" t="s">
        <v>1520</v>
      </c>
      <c r="D1654" t="str">
        <f>HYPERLINK("https://rhld.insurance.arkansas.gov/NPILookup?Npi=1457001786","1457001786")</f>
        <v>1457001786</v>
      </c>
      <c r="E1654" t="s">
        <v>744</v>
      </c>
      <c r="F1654" t="s">
        <v>13</v>
      </c>
      <c r="G1654" s="20">
        <v>1</v>
      </c>
      <c r="H1654" t="s">
        <v>4357</v>
      </c>
      <c r="I1654" t="s">
        <v>4357</v>
      </c>
      <c r="J1654" s="9"/>
      <c r="K1654" s="9"/>
      <c r="L1654" s="9"/>
    </row>
    <row r="1655" spans="2:12" ht="15" x14ac:dyDescent="0.25">
      <c r="B1655" t="s">
        <v>1519</v>
      </c>
      <c r="C1655" t="s">
        <v>1520</v>
      </c>
      <c r="D1655" t="str">
        <f>HYPERLINK("https://rhld.insurance.arkansas.gov/NPILookup?Npi=1457383127","1457383127")</f>
        <v>1457383127</v>
      </c>
      <c r="E1655" t="s">
        <v>1707</v>
      </c>
      <c r="F1655" t="s">
        <v>12</v>
      </c>
      <c r="G1655" s="20">
        <v>1</v>
      </c>
      <c r="H1655" t="s">
        <v>4338</v>
      </c>
      <c r="I1655" t="s">
        <v>32</v>
      </c>
      <c r="J1655" s="9"/>
      <c r="K1655" s="9"/>
      <c r="L1655" s="9"/>
    </row>
    <row r="1656" spans="2:12" ht="15" x14ac:dyDescent="0.25">
      <c r="B1656" t="s">
        <v>1519</v>
      </c>
      <c r="C1656" t="s">
        <v>1520</v>
      </c>
      <c r="D1656" t="str">
        <f>HYPERLINK("https://rhld.insurance.arkansas.gov/NPILookup?Npi=1457800591","1457800591")</f>
        <v>1457800591</v>
      </c>
      <c r="E1656" t="s">
        <v>1708</v>
      </c>
      <c r="F1656" t="s">
        <v>13</v>
      </c>
      <c r="G1656" s="20">
        <v>2</v>
      </c>
      <c r="H1656" t="s">
        <v>1548</v>
      </c>
      <c r="I1656" t="s">
        <v>4357</v>
      </c>
      <c r="J1656" s="9"/>
      <c r="K1656" s="9"/>
      <c r="L1656" s="9"/>
    </row>
    <row r="1657" spans="2:12" ht="15" x14ac:dyDescent="0.25">
      <c r="B1657" t="s">
        <v>1519</v>
      </c>
      <c r="C1657" t="s">
        <v>1520</v>
      </c>
      <c r="D1657" t="str">
        <f>HYPERLINK("https://rhld.insurance.arkansas.gov/NPILookup?Npi=1467489450","1467489450")</f>
        <v>1467489450</v>
      </c>
      <c r="E1657" t="s">
        <v>1709</v>
      </c>
      <c r="F1657" t="s">
        <v>12</v>
      </c>
      <c r="G1657" s="20">
        <v>1</v>
      </c>
      <c r="H1657" t="s">
        <v>4338</v>
      </c>
      <c r="I1657" t="s">
        <v>32</v>
      </c>
      <c r="J1657" s="9"/>
      <c r="K1657" s="9"/>
      <c r="L1657" s="9"/>
    </row>
    <row r="1658" spans="2:12" ht="15" x14ac:dyDescent="0.25">
      <c r="B1658" t="s">
        <v>1519</v>
      </c>
      <c r="C1658" t="s">
        <v>1520</v>
      </c>
      <c r="D1658" t="str">
        <f>HYPERLINK("https://rhld.insurance.arkansas.gov/NPILookup?Npi=1467588707","1467588707")</f>
        <v>1467588707</v>
      </c>
      <c r="E1658" t="s">
        <v>1710</v>
      </c>
      <c r="F1658" t="s">
        <v>12</v>
      </c>
      <c r="G1658" s="20">
        <v>1</v>
      </c>
      <c r="H1658" t="s">
        <v>141</v>
      </c>
      <c r="I1658" t="s">
        <v>32</v>
      </c>
      <c r="J1658" s="9"/>
      <c r="K1658" s="9"/>
      <c r="L1658" s="9"/>
    </row>
    <row r="1659" spans="2:12" ht="15" x14ac:dyDescent="0.25">
      <c r="B1659" t="s">
        <v>1519</v>
      </c>
      <c r="C1659" t="s">
        <v>1520</v>
      </c>
      <c r="D1659" t="str">
        <f>HYPERLINK("https://rhld.insurance.arkansas.gov/NPILookup?Npi=1477068542","1477068542")</f>
        <v>1477068542</v>
      </c>
      <c r="E1659" t="s">
        <v>1711</v>
      </c>
      <c r="F1659" t="s">
        <v>13</v>
      </c>
      <c r="G1659" s="20">
        <v>1</v>
      </c>
      <c r="H1659" t="s">
        <v>4357</v>
      </c>
      <c r="I1659" t="s">
        <v>4357</v>
      </c>
      <c r="J1659" s="9"/>
      <c r="K1659" s="9"/>
      <c r="L1659" s="9"/>
    </row>
    <row r="1660" spans="2:12" ht="15" x14ac:dyDescent="0.25">
      <c r="B1660" t="s">
        <v>1519</v>
      </c>
      <c r="C1660" t="s">
        <v>1520</v>
      </c>
      <c r="D1660" t="str">
        <f>HYPERLINK("https://rhld.insurance.arkansas.gov/NPILookup?Npi=1477077295","1477077295")</f>
        <v>1477077295</v>
      </c>
      <c r="E1660" t="s">
        <v>1712</v>
      </c>
      <c r="F1660" t="s">
        <v>12</v>
      </c>
      <c r="G1660" s="20">
        <v>1</v>
      </c>
      <c r="H1660" t="s">
        <v>139</v>
      </c>
      <c r="I1660" t="s">
        <v>32</v>
      </c>
      <c r="J1660" s="9"/>
      <c r="K1660" s="9"/>
      <c r="L1660" s="9"/>
    </row>
    <row r="1661" spans="2:12" ht="15" x14ac:dyDescent="0.25">
      <c r="B1661" t="s">
        <v>1519</v>
      </c>
      <c r="C1661" t="s">
        <v>1520</v>
      </c>
      <c r="D1661" t="str">
        <f>HYPERLINK("https://rhld.insurance.arkansas.gov/NPILookup?Npi=1477980761","1477980761")</f>
        <v>1477980761</v>
      </c>
      <c r="E1661" t="s">
        <v>1713</v>
      </c>
      <c r="F1661" t="s">
        <v>13</v>
      </c>
      <c r="G1661" s="20">
        <v>1</v>
      </c>
      <c r="H1661" t="s">
        <v>1533</v>
      </c>
      <c r="I1661" t="s">
        <v>32</v>
      </c>
      <c r="J1661" s="9"/>
      <c r="K1661" s="9"/>
      <c r="L1661" s="9"/>
    </row>
    <row r="1662" spans="2:12" ht="15" x14ac:dyDescent="0.25">
      <c r="B1662" t="s">
        <v>1519</v>
      </c>
      <c r="C1662" t="s">
        <v>1520</v>
      </c>
      <c r="D1662" t="str">
        <f>HYPERLINK("https://rhld.insurance.arkansas.gov/NPILookup?Npi=1487208203","1487208203")</f>
        <v>1487208203</v>
      </c>
      <c r="E1662" t="s">
        <v>1714</v>
      </c>
      <c r="F1662" t="s">
        <v>13</v>
      </c>
      <c r="G1662" s="20">
        <v>1</v>
      </c>
      <c r="H1662" t="s">
        <v>4357</v>
      </c>
      <c r="I1662" t="s">
        <v>4357</v>
      </c>
      <c r="J1662" s="9"/>
      <c r="K1662" s="9"/>
      <c r="L1662" s="9"/>
    </row>
    <row r="1663" spans="2:12" ht="15" x14ac:dyDescent="0.25">
      <c r="B1663" t="s">
        <v>1519</v>
      </c>
      <c r="C1663" t="s">
        <v>1520</v>
      </c>
      <c r="D1663" t="str">
        <f>HYPERLINK("https://rhld.insurance.arkansas.gov/NPILookup?Npi=1487708079","1487708079")</f>
        <v>1487708079</v>
      </c>
      <c r="E1663" t="s">
        <v>1715</v>
      </c>
      <c r="F1663" t="s">
        <v>12</v>
      </c>
      <c r="G1663" s="20">
        <v>1</v>
      </c>
      <c r="H1663" t="s">
        <v>4338</v>
      </c>
      <c r="I1663" t="s">
        <v>4357</v>
      </c>
      <c r="J1663" s="9"/>
      <c r="K1663" s="9"/>
      <c r="L1663" s="9"/>
    </row>
    <row r="1664" spans="2:12" ht="15" x14ac:dyDescent="0.25">
      <c r="B1664" t="s">
        <v>1519</v>
      </c>
      <c r="C1664" t="s">
        <v>1520</v>
      </c>
      <c r="D1664" t="str">
        <f>HYPERLINK("https://rhld.insurance.arkansas.gov/NPILookup?Npi=1497958722","1497958722")</f>
        <v>1497958722</v>
      </c>
      <c r="E1664" t="s">
        <v>1716</v>
      </c>
      <c r="F1664" t="s">
        <v>13</v>
      </c>
      <c r="G1664" s="20">
        <v>1</v>
      </c>
      <c r="H1664" t="s">
        <v>4357</v>
      </c>
      <c r="I1664" t="s">
        <v>4357</v>
      </c>
      <c r="J1664" s="9"/>
      <c r="K1664" s="9"/>
      <c r="L1664" s="9"/>
    </row>
    <row r="1665" spans="2:12" ht="15" x14ac:dyDescent="0.25">
      <c r="B1665" t="s">
        <v>1519</v>
      </c>
      <c r="C1665" t="s">
        <v>1520</v>
      </c>
      <c r="D1665" t="str">
        <f>HYPERLINK("https://rhld.insurance.arkansas.gov/NPILookup?Npi=1508465402","1508465402")</f>
        <v>1508465402</v>
      </c>
      <c r="E1665" t="s">
        <v>1718</v>
      </c>
      <c r="F1665" t="s">
        <v>13</v>
      </c>
      <c r="G1665" s="20">
        <v>1</v>
      </c>
      <c r="H1665" t="s">
        <v>1533</v>
      </c>
      <c r="I1665" t="s">
        <v>4357</v>
      </c>
      <c r="J1665" s="9"/>
      <c r="K1665" s="9"/>
      <c r="L1665" s="9"/>
    </row>
    <row r="1666" spans="2:12" ht="15" x14ac:dyDescent="0.25">
      <c r="B1666" t="s">
        <v>1519</v>
      </c>
      <c r="C1666" t="s">
        <v>1520</v>
      </c>
      <c r="D1666" t="str">
        <f>HYPERLINK("https://rhld.insurance.arkansas.gov/NPILookup?Npi=1508595547","1508595547")</f>
        <v>1508595547</v>
      </c>
      <c r="E1666" t="s">
        <v>1719</v>
      </c>
      <c r="F1666" t="s">
        <v>13</v>
      </c>
      <c r="G1666" s="20">
        <v>1</v>
      </c>
      <c r="H1666" t="s">
        <v>4357</v>
      </c>
      <c r="I1666" t="s">
        <v>4357</v>
      </c>
      <c r="J1666" s="9"/>
      <c r="K1666" s="9"/>
      <c r="L1666" s="9"/>
    </row>
    <row r="1667" spans="2:12" ht="15" x14ac:dyDescent="0.25">
      <c r="B1667" t="s">
        <v>1519</v>
      </c>
      <c r="C1667" t="s">
        <v>1520</v>
      </c>
      <c r="D1667" t="str">
        <f>HYPERLINK("https://rhld.insurance.arkansas.gov/NPILookup?Npi=1508897307","1508897307")</f>
        <v>1508897307</v>
      </c>
      <c r="E1667" t="s">
        <v>1720</v>
      </c>
      <c r="F1667" t="s">
        <v>12</v>
      </c>
      <c r="G1667" s="20">
        <v>1</v>
      </c>
      <c r="H1667" t="s">
        <v>4338</v>
      </c>
      <c r="I1667" t="s">
        <v>32</v>
      </c>
      <c r="J1667" s="9"/>
      <c r="K1667" s="9"/>
      <c r="L1667" s="9"/>
    </row>
    <row r="1668" spans="2:12" ht="15" x14ac:dyDescent="0.25">
      <c r="B1668" t="s">
        <v>1519</v>
      </c>
      <c r="C1668" t="s">
        <v>1520</v>
      </c>
      <c r="D1668" t="str">
        <f>HYPERLINK("https://rhld.insurance.arkansas.gov/NPILookup?Npi=1518252725","1518252725")</f>
        <v>1518252725</v>
      </c>
      <c r="E1668" t="s">
        <v>1721</v>
      </c>
      <c r="F1668" t="s">
        <v>12</v>
      </c>
      <c r="G1668" s="20">
        <v>1</v>
      </c>
      <c r="H1668" t="s">
        <v>4338</v>
      </c>
      <c r="I1668" t="s">
        <v>32</v>
      </c>
      <c r="J1668" s="9"/>
      <c r="K1668" s="9"/>
      <c r="L1668" s="9"/>
    </row>
    <row r="1669" spans="2:12" ht="15" x14ac:dyDescent="0.25">
      <c r="B1669" t="s">
        <v>1519</v>
      </c>
      <c r="C1669" t="s">
        <v>1520</v>
      </c>
      <c r="D1669" t="str">
        <f>HYPERLINK("https://rhld.insurance.arkansas.gov/NPILookup?Npi=1518358522","1518358522")</f>
        <v>1518358522</v>
      </c>
      <c r="E1669" t="s">
        <v>1722</v>
      </c>
      <c r="F1669" t="s">
        <v>12</v>
      </c>
      <c r="G1669" s="20">
        <v>1</v>
      </c>
      <c r="H1669" t="s">
        <v>4338</v>
      </c>
      <c r="I1669" t="s">
        <v>32</v>
      </c>
      <c r="J1669" s="9"/>
      <c r="K1669" s="9"/>
      <c r="L1669" s="9"/>
    </row>
    <row r="1670" spans="2:12" ht="15" x14ac:dyDescent="0.25">
      <c r="B1670" t="s">
        <v>1519</v>
      </c>
      <c r="C1670" t="s">
        <v>1520</v>
      </c>
      <c r="D1670" t="str">
        <f>HYPERLINK("https://rhld.insurance.arkansas.gov/NPILookup?Npi=1518560192","1518560192")</f>
        <v>1518560192</v>
      </c>
      <c r="E1670" t="s">
        <v>1723</v>
      </c>
      <c r="F1670" t="s">
        <v>13</v>
      </c>
      <c r="G1670" s="20">
        <v>1</v>
      </c>
      <c r="H1670" t="s">
        <v>4357</v>
      </c>
      <c r="I1670" t="s">
        <v>4357</v>
      </c>
      <c r="J1670" s="9"/>
      <c r="K1670" s="9"/>
      <c r="L1670" s="9"/>
    </row>
    <row r="1671" spans="2:12" ht="15" x14ac:dyDescent="0.25">
      <c r="B1671" t="s">
        <v>1519</v>
      </c>
      <c r="C1671" t="s">
        <v>1520</v>
      </c>
      <c r="D1671" t="str">
        <f>HYPERLINK("https://rhld.insurance.arkansas.gov/NPILookup?Npi=1518598259","1518598259")</f>
        <v>1518598259</v>
      </c>
      <c r="E1671" t="s">
        <v>1724</v>
      </c>
      <c r="F1671" t="s">
        <v>13</v>
      </c>
      <c r="G1671" s="20">
        <v>1</v>
      </c>
      <c r="H1671" t="s">
        <v>4357</v>
      </c>
      <c r="I1671" t="s">
        <v>4357</v>
      </c>
      <c r="J1671" s="9"/>
      <c r="K1671" s="9"/>
      <c r="L1671" s="9"/>
    </row>
    <row r="1672" spans="2:12" ht="15" x14ac:dyDescent="0.25">
      <c r="B1672" t="s">
        <v>1519</v>
      </c>
      <c r="C1672" t="s">
        <v>1520</v>
      </c>
      <c r="D1672" t="str">
        <f>HYPERLINK("https://rhld.insurance.arkansas.gov/NPILookup?Npi=1518637404","1518637404")</f>
        <v>1518637404</v>
      </c>
      <c r="E1672" t="s">
        <v>1725</v>
      </c>
      <c r="F1672" t="s">
        <v>13</v>
      </c>
      <c r="G1672" s="20">
        <v>2</v>
      </c>
      <c r="H1672" t="s">
        <v>1548</v>
      </c>
      <c r="I1672" t="s">
        <v>4357</v>
      </c>
      <c r="J1672" s="9"/>
      <c r="K1672" s="9"/>
      <c r="L1672" s="9"/>
    </row>
    <row r="1673" spans="2:12" ht="15" x14ac:dyDescent="0.25">
      <c r="B1673" t="s">
        <v>1519</v>
      </c>
      <c r="C1673" t="s">
        <v>1520</v>
      </c>
      <c r="D1673" t="str">
        <f>HYPERLINK("https://rhld.insurance.arkansas.gov/NPILookup?Npi=1518664747","1518664747")</f>
        <v>1518664747</v>
      </c>
      <c r="E1673" t="s">
        <v>1726</v>
      </c>
      <c r="F1673" t="s">
        <v>13</v>
      </c>
      <c r="G1673" s="20">
        <v>1</v>
      </c>
      <c r="H1673" t="s">
        <v>4357</v>
      </c>
      <c r="I1673" t="s">
        <v>4357</v>
      </c>
      <c r="J1673" s="9"/>
      <c r="K1673" s="9"/>
      <c r="L1673" s="9"/>
    </row>
    <row r="1674" spans="2:12" ht="15" x14ac:dyDescent="0.25">
      <c r="B1674" t="s">
        <v>1519</v>
      </c>
      <c r="C1674" t="s">
        <v>1520</v>
      </c>
      <c r="D1674" t="str">
        <f>HYPERLINK("https://rhld.insurance.arkansas.gov/NPILookup?Npi=1518780063","1518780063")</f>
        <v>1518780063</v>
      </c>
      <c r="E1674" t="s">
        <v>1727</v>
      </c>
      <c r="F1674" t="s">
        <v>13</v>
      </c>
      <c r="G1674" s="20">
        <v>1</v>
      </c>
      <c r="H1674" t="s">
        <v>4357</v>
      </c>
      <c r="I1674" t="s">
        <v>4357</v>
      </c>
      <c r="J1674" s="9"/>
      <c r="K1674" s="9"/>
      <c r="L1674" s="9"/>
    </row>
    <row r="1675" spans="2:12" ht="15" x14ac:dyDescent="0.25">
      <c r="B1675" t="s">
        <v>1519</v>
      </c>
      <c r="C1675" t="s">
        <v>1520</v>
      </c>
      <c r="D1675" t="str">
        <f>HYPERLINK("https://rhld.insurance.arkansas.gov/NPILookup?Npi=1518795657","1518795657")</f>
        <v>1518795657</v>
      </c>
      <c r="E1675" t="s">
        <v>1728</v>
      </c>
      <c r="F1675" t="s">
        <v>13</v>
      </c>
      <c r="G1675" s="20">
        <v>1</v>
      </c>
      <c r="H1675" t="s">
        <v>4357</v>
      </c>
      <c r="I1675" t="s">
        <v>4357</v>
      </c>
      <c r="J1675" s="9"/>
      <c r="K1675" s="9"/>
      <c r="L1675" s="9"/>
    </row>
    <row r="1676" spans="2:12" ht="15" x14ac:dyDescent="0.25">
      <c r="B1676" t="s">
        <v>1519</v>
      </c>
      <c r="C1676" t="s">
        <v>1520</v>
      </c>
      <c r="D1676" t="str">
        <f>HYPERLINK("https://rhld.insurance.arkansas.gov/NPILookup?Npi=1518924471","1518924471")</f>
        <v>1518924471</v>
      </c>
      <c r="E1676" t="s">
        <v>1729</v>
      </c>
      <c r="F1676" t="s">
        <v>12</v>
      </c>
      <c r="G1676" s="20">
        <v>1</v>
      </c>
      <c r="H1676" t="s">
        <v>4338</v>
      </c>
      <c r="I1676" t="s">
        <v>32</v>
      </c>
      <c r="J1676" s="9"/>
      <c r="K1676" s="9"/>
      <c r="L1676" s="9"/>
    </row>
    <row r="1677" spans="2:12" ht="15" x14ac:dyDescent="0.25">
      <c r="B1677" t="s">
        <v>1519</v>
      </c>
      <c r="C1677" t="s">
        <v>1520</v>
      </c>
      <c r="D1677" t="str">
        <f>HYPERLINK("https://rhld.insurance.arkansas.gov/NPILookup?Npi=1528485257","1528485257")</f>
        <v>1528485257</v>
      </c>
      <c r="E1677" t="s">
        <v>1730</v>
      </c>
      <c r="F1677" t="s">
        <v>13</v>
      </c>
      <c r="G1677" s="20">
        <v>1</v>
      </c>
      <c r="H1677" t="s">
        <v>1533</v>
      </c>
      <c r="I1677" t="s">
        <v>4357</v>
      </c>
      <c r="J1677" s="9"/>
      <c r="K1677" s="9"/>
      <c r="L1677" s="9"/>
    </row>
    <row r="1678" spans="2:12" ht="15" x14ac:dyDescent="0.25">
      <c r="B1678" t="s">
        <v>1519</v>
      </c>
      <c r="C1678" t="s">
        <v>1520</v>
      </c>
      <c r="D1678" t="str">
        <f>HYPERLINK("https://rhld.insurance.arkansas.gov/NPILookup?Npi=1528895315","1528895315")</f>
        <v>1528895315</v>
      </c>
      <c r="E1678" t="s">
        <v>1732</v>
      </c>
      <c r="F1678" t="s">
        <v>13</v>
      </c>
      <c r="G1678" s="20">
        <v>1</v>
      </c>
      <c r="H1678" t="s">
        <v>1533</v>
      </c>
      <c r="I1678" t="s">
        <v>4357</v>
      </c>
      <c r="J1678" s="9"/>
      <c r="K1678" s="9"/>
      <c r="L1678" s="9"/>
    </row>
    <row r="1679" spans="2:12" ht="15" x14ac:dyDescent="0.25">
      <c r="B1679" t="s">
        <v>1519</v>
      </c>
      <c r="C1679" t="s">
        <v>1520</v>
      </c>
      <c r="D1679" t="str">
        <f>HYPERLINK("https://rhld.insurance.arkansas.gov/NPILookup?Npi=1538291489","1538291489")</f>
        <v>1538291489</v>
      </c>
      <c r="E1679" t="s">
        <v>1733</v>
      </c>
      <c r="F1679" t="s">
        <v>12</v>
      </c>
      <c r="G1679" s="20">
        <v>1</v>
      </c>
      <c r="H1679" t="s">
        <v>4338</v>
      </c>
      <c r="I1679" t="s">
        <v>32</v>
      </c>
      <c r="J1679" s="9"/>
      <c r="K1679" s="9"/>
      <c r="L1679" s="9"/>
    </row>
    <row r="1680" spans="2:12" ht="15" x14ac:dyDescent="0.25">
      <c r="B1680" t="s">
        <v>1519</v>
      </c>
      <c r="C1680" t="s">
        <v>1520</v>
      </c>
      <c r="D1680" t="str">
        <f>HYPERLINK("https://rhld.insurance.arkansas.gov/NPILookup?Npi=1538690995","1538690995")</f>
        <v>1538690995</v>
      </c>
      <c r="E1680" t="s">
        <v>1734</v>
      </c>
      <c r="F1680" t="s">
        <v>13</v>
      </c>
      <c r="G1680" s="20">
        <v>1</v>
      </c>
      <c r="H1680" t="s">
        <v>4357</v>
      </c>
      <c r="I1680" t="s">
        <v>4357</v>
      </c>
      <c r="J1680" s="9"/>
      <c r="K1680" s="9"/>
      <c r="L1680" s="9"/>
    </row>
    <row r="1681" spans="2:12" ht="15" x14ac:dyDescent="0.25">
      <c r="B1681" t="s">
        <v>1519</v>
      </c>
      <c r="C1681" t="s">
        <v>1520</v>
      </c>
      <c r="D1681" t="str">
        <f>HYPERLINK("https://rhld.insurance.arkansas.gov/NPILookup?Npi=1538880836","1538880836")</f>
        <v>1538880836</v>
      </c>
      <c r="E1681" t="s">
        <v>1735</v>
      </c>
      <c r="F1681" t="s">
        <v>13</v>
      </c>
      <c r="G1681" s="20">
        <v>1</v>
      </c>
      <c r="H1681" t="s">
        <v>4357</v>
      </c>
      <c r="I1681" t="s">
        <v>4357</v>
      </c>
      <c r="J1681" s="9"/>
      <c r="K1681" s="9"/>
      <c r="L1681" s="9"/>
    </row>
    <row r="1682" spans="2:12" ht="15" x14ac:dyDescent="0.25">
      <c r="B1682" t="s">
        <v>1519</v>
      </c>
      <c r="C1682" t="s">
        <v>1520</v>
      </c>
      <c r="D1682" t="str">
        <f>HYPERLINK("https://rhld.insurance.arkansas.gov/NPILookup?Npi=1538923867","1538923867")</f>
        <v>1538923867</v>
      </c>
      <c r="E1682" t="s">
        <v>1736</v>
      </c>
      <c r="F1682" t="s">
        <v>13</v>
      </c>
      <c r="G1682" s="20">
        <v>2</v>
      </c>
      <c r="H1682" t="s">
        <v>1548</v>
      </c>
      <c r="I1682" t="s">
        <v>4357</v>
      </c>
      <c r="J1682" s="9"/>
      <c r="K1682" s="9"/>
      <c r="L1682" s="9"/>
    </row>
    <row r="1683" spans="2:12" ht="15" x14ac:dyDescent="0.25">
      <c r="B1683" t="s">
        <v>1519</v>
      </c>
      <c r="C1683" t="s">
        <v>1520</v>
      </c>
      <c r="D1683" t="str">
        <f>HYPERLINK("https://rhld.insurance.arkansas.gov/NPILookup?Npi=1548603764","1548603764")</f>
        <v>1548603764</v>
      </c>
      <c r="E1683" t="s">
        <v>1737</v>
      </c>
      <c r="F1683" t="s">
        <v>12</v>
      </c>
      <c r="G1683" s="20">
        <v>1</v>
      </c>
      <c r="H1683" t="s">
        <v>4338</v>
      </c>
      <c r="I1683" t="s">
        <v>32</v>
      </c>
      <c r="J1683" s="9"/>
      <c r="K1683" s="9"/>
      <c r="L1683" s="9"/>
    </row>
    <row r="1684" spans="2:12" ht="15" x14ac:dyDescent="0.25">
      <c r="B1684" t="s">
        <v>1519</v>
      </c>
      <c r="C1684" t="s">
        <v>1520</v>
      </c>
      <c r="D1684" t="str">
        <f>HYPERLINK("https://rhld.insurance.arkansas.gov/NPILookup?Npi=1548980873","1548980873")</f>
        <v>1548980873</v>
      </c>
      <c r="E1684" t="s">
        <v>1738</v>
      </c>
      <c r="F1684" t="s">
        <v>13</v>
      </c>
      <c r="G1684" s="20">
        <v>1</v>
      </c>
      <c r="H1684" t="s">
        <v>4357</v>
      </c>
      <c r="I1684" t="s">
        <v>4357</v>
      </c>
      <c r="J1684" s="9"/>
      <c r="K1684" s="9"/>
      <c r="L1684" s="9"/>
    </row>
    <row r="1685" spans="2:12" ht="15" x14ac:dyDescent="0.25">
      <c r="B1685" t="s">
        <v>1519</v>
      </c>
      <c r="C1685" t="s">
        <v>1520</v>
      </c>
      <c r="D1685" t="str">
        <f>HYPERLINK("https://rhld.insurance.arkansas.gov/NPILookup?Npi=1558157784","1558157784")</f>
        <v>1558157784</v>
      </c>
      <c r="E1685" t="s">
        <v>1739</v>
      </c>
      <c r="F1685" t="s">
        <v>13</v>
      </c>
      <c r="G1685" s="20">
        <v>2</v>
      </c>
      <c r="H1685" t="s">
        <v>1548</v>
      </c>
      <c r="I1685" t="s">
        <v>4357</v>
      </c>
      <c r="J1685" s="9"/>
      <c r="K1685" s="9"/>
      <c r="L1685" s="9"/>
    </row>
    <row r="1686" spans="2:12" ht="15" x14ac:dyDescent="0.25">
      <c r="B1686" t="s">
        <v>1519</v>
      </c>
      <c r="C1686" t="s">
        <v>1520</v>
      </c>
      <c r="D1686" t="str">
        <f>HYPERLINK("https://rhld.insurance.arkansas.gov/NPILookup?Npi=1558809475","1558809475")</f>
        <v>1558809475</v>
      </c>
      <c r="E1686" t="s">
        <v>1740</v>
      </c>
      <c r="F1686" t="s">
        <v>12</v>
      </c>
      <c r="G1686" s="20">
        <v>1</v>
      </c>
      <c r="H1686" t="s">
        <v>4338</v>
      </c>
      <c r="I1686" t="s">
        <v>32</v>
      </c>
      <c r="J1686" s="9"/>
      <c r="K1686" s="9"/>
      <c r="L1686" s="9"/>
    </row>
    <row r="1687" spans="2:12" ht="15" x14ac:dyDescent="0.25">
      <c r="B1687" t="s">
        <v>1519</v>
      </c>
      <c r="C1687" t="s">
        <v>1520</v>
      </c>
      <c r="D1687" t="str">
        <f>HYPERLINK("https://rhld.insurance.arkansas.gov/NPILookup?Npi=1558812842","1558812842")</f>
        <v>1558812842</v>
      </c>
      <c r="E1687" t="s">
        <v>1741</v>
      </c>
      <c r="F1687" t="s">
        <v>12</v>
      </c>
      <c r="G1687" s="20">
        <v>1</v>
      </c>
      <c r="H1687" t="s">
        <v>4338</v>
      </c>
      <c r="I1687" t="s">
        <v>32</v>
      </c>
      <c r="J1687" s="9"/>
      <c r="K1687" s="9"/>
      <c r="L1687" s="9"/>
    </row>
    <row r="1688" spans="2:12" ht="15" x14ac:dyDescent="0.25">
      <c r="B1688" t="s">
        <v>1519</v>
      </c>
      <c r="C1688" t="s">
        <v>1520</v>
      </c>
      <c r="D1688" t="str">
        <f>HYPERLINK("https://rhld.insurance.arkansas.gov/NPILookup?Npi=1578184982","1578184982")</f>
        <v>1578184982</v>
      </c>
      <c r="E1688" t="s">
        <v>1742</v>
      </c>
      <c r="F1688" t="s">
        <v>13</v>
      </c>
      <c r="G1688" s="20">
        <v>1</v>
      </c>
      <c r="H1688" t="s">
        <v>4357</v>
      </c>
      <c r="I1688" t="s">
        <v>4357</v>
      </c>
      <c r="J1688" s="9"/>
      <c r="K1688" s="9"/>
      <c r="L1688" s="9"/>
    </row>
    <row r="1689" spans="2:12" ht="15" x14ac:dyDescent="0.25">
      <c r="B1689" t="s">
        <v>1519</v>
      </c>
      <c r="C1689" t="s">
        <v>1520</v>
      </c>
      <c r="D1689" t="str">
        <f>HYPERLINK("https://rhld.insurance.arkansas.gov/NPILookup?Npi=1578377529","1578377529")</f>
        <v>1578377529</v>
      </c>
      <c r="E1689" t="s">
        <v>1744</v>
      </c>
      <c r="F1689" t="s">
        <v>13</v>
      </c>
      <c r="G1689" s="20">
        <v>1</v>
      </c>
      <c r="H1689" t="s">
        <v>1533</v>
      </c>
      <c r="I1689" t="s">
        <v>4357</v>
      </c>
      <c r="J1689" s="9"/>
      <c r="K1689" s="9"/>
      <c r="L1689" s="9"/>
    </row>
    <row r="1690" spans="2:12" ht="15" x14ac:dyDescent="0.25">
      <c r="B1690" t="s">
        <v>1519</v>
      </c>
      <c r="C1690" t="s">
        <v>1520</v>
      </c>
      <c r="D1690" t="str">
        <f>HYPERLINK("https://rhld.insurance.arkansas.gov/NPILookup?Npi=1578818621","1578818621")</f>
        <v>1578818621</v>
      </c>
      <c r="E1690" t="s">
        <v>1745</v>
      </c>
      <c r="F1690" t="s">
        <v>12</v>
      </c>
      <c r="G1690" s="20">
        <v>1</v>
      </c>
      <c r="H1690" t="s">
        <v>4338</v>
      </c>
      <c r="I1690" t="s">
        <v>32</v>
      </c>
      <c r="J1690" s="9"/>
      <c r="K1690" s="9"/>
      <c r="L1690" s="9"/>
    </row>
    <row r="1691" spans="2:12" ht="15" x14ac:dyDescent="0.25">
      <c r="B1691" t="s">
        <v>1519</v>
      </c>
      <c r="C1691" t="s">
        <v>1520</v>
      </c>
      <c r="D1691" t="str">
        <f>HYPERLINK("https://rhld.insurance.arkansas.gov/NPILookup?Npi=1588355648","1588355648")</f>
        <v>1588355648</v>
      </c>
      <c r="E1691" t="s">
        <v>1746</v>
      </c>
      <c r="F1691" t="s">
        <v>13</v>
      </c>
      <c r="G1691" s="20">
        <v>1</v>
      </c>
      <c r="H1691" t="s">
        <v>4357</v>
      </c>
      <c r="I1691" t="s">
        <v>4357</v>
      </c>
      <c r="J1691" s="9"/>
      <c r="K1691" s="9"/>
      <c r="L1691" s="9"/>
    </row>
    <row r="1692" spans="2:12" ht="15" x14ac:dyDescent="0.25">
      <c r="B1692" t="s">
        <v>1519</v>
      </c>
      <c r="C1692" t="s">
        <v>1520</v>
      </c>
      <c r="D1692" t="str">
        <f>HYPERLINK("https://rhld.insurance.arkansas.gov/NPILookup?Npi=1588696082","1588696082")</f>
        <v>1588696082</v>
      </c>
      <c r="E1692" t="s">
        <v>1747</v>
      </c>
      <c r="F1692" t="s">
        <v>12</v>
      </c>
      <c r="G1692" s="20">
        <v>1</v>
      </c>
      <c r="H1692" t="s">
        <v>4338</v>
      </c>
      <c r="I1692" t="s">
        <v>32</v>
      </c>
      <c r="J1692" s="9"/>
      <c r="K1692" s="9"/>
      <c r="L1692" s="9"/>
    </row>
    <row r="1693" spans="2:12" ht="15" x14ac:dyDescent="0.25">
      <c r="B1693" t="s">
        <v>1519</v>
      </c>
      <c r="C1693" t="s">
        <v>1520</v>
      </c>
      <c r="D1693" t="str">
        <f>HYPERLINK("https://rhld.insurance.arkansas.gov/NPILookup?Npi=1609233733","1609233733")</f>
        <v>1609233733</v>
      </c>
      <c r="E1693" t="s">
        <v>1749</v>
      </c>
      <c r="F1693" t="s">
        <v>12</v>
      </c>
      <c r="G1693" s="20">
        <v>1</v>
      </c>
      <c r="H1693" t="s">
        <v>4338</v>
      </c>
      <c r="I1693" t="s">
        <v>32</v>
      </c>
      <c r="J1693" s="9"/>
      <c r="K1693" s="9"/>
      <c r="L1693" s="9"/>
    </row>
    <row r="1694" spans="2:12" ht="15" x14ac:dyDescent="0.25">
      <c r="B1694" t="s">
        <v>1519</v>
      </c>
      <c r="C1694" t="s">
        <v>1520</v>
      </c>
      <c r="D1694" t="str">
        <f>HYPERLINK("https://rhld.insurance.arkansas.gov/NPILookup?Npi=1609447515","1609447515")</f>
        <v>1609447515</v>
      </c>
      <c r="E1694" t="s">
        <v>1750</v>
      </c>
      <c r="F1694" t="s">
        <v>12</v>
      </c>
      <c r="G1694" s="20">
        <v>1</v>
      </c>
      <c r="H1694" t="s">
        <v>4338</v>
      </c>
      <c r="I1694" t="s">
        <v>32</v>
      </c>
      <c r="J1694" s="9"/>
      <c r="K1694" s="9"/>
      <c r="L1694" s="9"/>
    </row>
    <row r="1695" spans="2:12" ht="15" x14ac:dyDescent="0.25">
      <c r="B1695" t="s">
        <v>1519</v>
      </c>
      <c r="C1695" t="s">
        <v>1520</v>
      </c>
      <c r="D1695" t="str">
        <f>HYPERLINK("https://rhld.insurance.arkansas.gov/NPILookup?Npi=1609499904","1609499904")</f>
        <v>1609499904</v>
      </c>
      <c r="E1695" t="s">
        <v>1751</v>
      </c>
      <c r="F1695" t="s">
        <v>12</v>
      </c>
      <c r="G1695" s="20">
        <v>1</v>
      </c>
      <c r="H1695" t="s">
        <v>139</v>
      </c>
      <c r="I1695" t="s">
        <v>4357</v>
      </c>
      <c r="J1695" s="9"/>
      <c r="K1695" s="9"/>
      <c r="L1695" s="9"/>
    </row>
    <row r="1696" spans="2:12" ht="15" x14ac:dyDescent="0.25">
      <c r="B1696" t="s">
        <v>1519</v>
      </c>
      <c r="C1696" t="s">
        <v>1520</v>
      </c>
      <c r="D1696" t="str">
        <f>HYPERLINK("https://rhld.insurance.arkansas.gov/NPILookup?Npi=1619239548","1619239548")</f>
        <v>1619239548</v>
      </c>
      <c r="E1696" t="s">
        <v>1752</v>
      </c>
      <c r="F1696" t="s">
        <v>13</v>
      </c>
      <c r="G1696" s="20">
        <v>1</v>
      </c>
      <c r="H1696" t="s">
        <v>4357</v>
      </c>
      <c r="I1696" t="s">
        <v>4357</v>
      </c>
      <c r="J1696" s="9"/>
      <c r="K1696" s="9"/>
      <c r="L1696" s="9"/>
    </row>
    <row r="1697" spans="2:12" ht="15" x14ac:dyDescent="0.25">
      <c r="B1697" t="s">
        <v>1519</v>
      </c>
      <c r="C1697" t="s">
        <v>1520</v>
      </c>
      <c r="D1697" t="str">
        <f>HYPERLINK("https://rhld.insurance.arkansas.gov/NPILookup?Npi=1619547478","1619547478")</f>
        <v>1619547478</v>
      </c>
      <c r="E1697" t="s">
        <v>1753</v>
      </c>
      <c r="F1697" t="s">
        <v>12</v>
      </c>
      <c r="G1697" s="20">
        <v>1</v>
      </c>
      <c r="H1697" t="s">
        <v>4338</v>
      </c>
      <c r="I1697" t="s">
        <v>32</v>
      </c>
      <c r="J1697" s="9"/>
      <c r="K1697" s="9"/>
      <c r="L1697" s="9"/>
    </row>
    <row r="1698" spans="2:12" ht="15" x14ac:dyDescent="0.25">
      <c r="B1698" t="s">
        <v>1519</v>
      </c>
      <c r="C1698" t="s">
        <v>1520</v>
      </c>
      <c r="D1698" t="str">
        <f>HYPERLINK("https://rhld.insurance.arkansas.gov/NPILookup?Npi=1619564374","1619564374")</f>
        <v>1619564374</v>
      </c>
      <c r="E1698" t="s">
        <v>1755</v>
      </c>
      <c r="F1698" t="s">
        <v>13</v>
      </c>
      <c r="G1698" s="20">
        <v>2</v>
      </c>
      <c r="H1698" t="s">
        <v>1548</v>
      </c>
      <c r="I1698" t="s">
        <v>4357</v>
      </c>
      <c r="J1698" s="9"/>
      <c r="K1698" s="9"/>
      <c r="L1698" s="9"/>
    </row>
    <row r="1699" spans="2:12" ht="15" x14ac:dyDescent="0.25">
      <c r="B1699" t="s">
        <v>1519</v>
      </c>
      <c r="C1699" t="s">
        <v>1520</v>
      </c>
      <c r="D1699" t="str">
        <f>HYPERLINK("https://rhld.insurance.arkansas.gov/NPILookup?Npi=1619995198","1619995198")</f>
        <v>1619995198</v>
      </c>
      <c r="E1699" t="s">
        <v>107</v>
      </c>
      <c r="F1699" t="s">
        <v>13</v>
      </c>
      <c r="G1699" s="20">
        <v>1</v>
      </c>
      <c r="H1699" t="s">
        <v>4357</v>
      </c>
      <c r="I1699" t="s">
        <v>4357</v>
      </c>
      <c r="J1699" s="9"/>
      <c r="K1699" s="9"/>
      <c r="L1699" s="9"/>
    </row>
    <row r="1700" spans="2:12" ht="15" x14ac:dyDescent="0.25">
      <c r="B1700" t="s">
        <v>1519</v>
      </c>
      <c r="C1700" t="s">
        <v>1520</v>
      </c>
      <c r="D1700" t="str">
        <f>HYPERLINK("https://rhld.insurance.arkansas.gov/NPILookup?Npi=1629168299","1629168299")</f>
        <v>1629168299</v>
      </c>
      <c r="E1700" t="s">
        <v>1756</v>
      </c>
      <c r="F1700" t="s">
        <v>12</v>
      </c>
      <c r="G1700" s="20">
        <v>1</v>
      </c>
      <c r="H1700" t="s">
        <v>4338</v>
      </c>
      <c r="I1700" t="s">
        <v>32</v>
      </c>
      <c r="J1700" s="9"/>
      <c r="K1700" s="9"/>
      <c r="L1700" s="9"/>
    </row>
    <row r="1701" spans="2:12" ht="15" x14ac:dyDescent="0.25">
      <c r="B1701" t="s">
        <v>1519</v>
      </c>
      <c r="C1701" t="s">
        <v>1520</v>
      </c>
      <c r="D1701" t="str">
        <f>HYPERLINK("https://rhld.insurance.arkansas.gov/NPILookup?Npi=1629360383","1629360383")</f>
        <v>1629360383</v>
      </c>
      <c r="E1701" t="s">
        <v>1757</v>
      </c>
      <c r="F1701" t="s">
        <v>13</v>
      </c>
      <c r="G1701" s="20">
        <v>1</v>
      </c>
      <c r="H1701" t="s">
        <v>4357</v>
      </c>
      <c r="I1701" t="s">
        <v>4357</v>
      </c>
      <c r="J1701" s="9"/>
      <c r="K1701" s="9"/>
      <c r="L1701" s="9"/>
    </row>
    <row r="1702" spans="2:12" ht="15" x14ac:dyDescent="0.25">
      <c r="B1702" t="s">
        <v>1519</v>
      </c>
      <c r="C1702" t="s">
        <v>1520</v>
      </c>
      <c r="D1702" t="str">
        <f>HYPERLINK("https://rhld.insurance.arkansas.gov/NPILookup?Npi=1629884606","1629884606")</f>
        <v>1629884606</v>
      </c>
      <c r="E1702" t="s">
        <v>1758</v>
      </c>
      <c r="F1702" t="s">
        <v>13</v>
      </c>
      <c r="G1702" s="20">
        <v>1</v>
      </c>
      <c r="H1702" t="s">
        <v>4357</v>
      </c>
      <c r="I1702" t="s">
        <v>4357</v>
      </c>
      <c r="J1702" s="9"/>
      <c r="K1702" s="9"/>
      <c r="L1702" s="9"/>
    </row>
    <row r="1703" spans="2:12" ht="15" x14ac:dyDescent="0.25">
      <c r="B1703" t="s">
        <v>1519</v>
      </c>
      <c r="C1703" t="s">
        <v>1520</v>
      </c>
      <c r="D1703" t="str">
        <f>HYPERLINK("https://rhld.insurance.arkansas.gov/NPILookup?Npi=1639430002","1639430002")</f>
        <v>1639430002</v>
      </c>
      <c r="E1703" t="s">
        <v>1759</v>
      </c>
      <c r="F1703" t="s">
        <v>12</v>
      </c>
      <c r="G1703" s="20">
        <v>1</v>
      </c>
      <c r="H1703" t="s">
        <v>4338</v>
      </c>
      <c r="I1703" t="s">
        <v>32</v>
      </c>
      <c r="J1703" s="9"/>
      <c r="K1703" s="9"/>
      <c r="L1703" s="9"/>
    </row>
    <row r="1704" spans="2:12" ht="15" x14ac:dyDescent="0.25">
      <c r="B1704" t="s">
        <v>1519</v>
      </c>
      <c r="C1704" t="s">
        <v>1520</v>
      </c>
      <c r="D1704" t="str">
        <f>HYPERLINK("https://rhld.insurance.arkansas.gov/NPILookup?Npi=1639441553","1639441553")</f>
        <v>1639441553</v>
      </c>
      <c r="E1704" t="s">
        <v>1760</v>
      </c>
      <c r="F1704" t="s">
        <v>13</v>
      </c>
      <c r="G1704" s="20">
        <v>1</v>
      </c>
      <c r="H1704" t="s">
        <v>4357</v>
      </c>
      <c r="I1704" t="s">
        <v>4357</v>
      </c>
      <c r="J1704" s="9"/>
      <c r="K1704" s="9"/>
      <c r="L1704" s="9"/>
    </row>
    <row r="1705" spans="2:12" ht="15" x14ac:dyDescent="0.25">
      <c r="B1705" t="s">
        <v>1519</v>
      </c>
      <c r="C1705" t="s">
        <v>1520</v>
      </c>
      <c r="D1705" t="str">
        <f>HYPERLINK("https://rhld.insurance.arkansas.gov/NPILookup?Npi=1639701022","1639701022")</f>
        <v>1639701022</v>
      </c>
      <c r="E1705" t="s">
        <v>1761</v>
      </c>
      <c r="F1705" t="s">
        <v>12</v>
      </c>
      <c r="G1705" s="20">
        <v>1</v>
      </c>
      <c r="H1705" t="s">
        <v>4338</v>
      </c>
      <c r="I1705" t="s">
        <v>32</v>
      </c>
      <c r="J1705" s="9"/>
      <c r="K1705" s="9"/>
      <c r="L1705" s="9"/>
    </row>
    <row r="1706" spans="2:12" ht="15" x14ac:dyDescent="0.25">
      <c r="B1706" t="s">
        <v>1519</v>
      </c>
      <c r="C1706" t="s">
        <v>1520</v>
      </c>
      <c r="D1706" t="str">
        <f>HYPERLINK("https://rhld.insurance.arkansas.gov/NPILookup?Npi=1649058447","1649058447")</f>
        <v>1649058447</v>
      </c>
      <c r="E1706" t="s">
        <v>1762</v>
      </c>
      <c r="F1706" t="s">
        <v>13</v>
      </c>
      <c r="G1706" s="20">
        <v>1</v>
      </c>
      <c r="H1706" t="s">
        <v>4357</v>
      </c>
      <c r="I1706" t="s">
        <v>4357</v>
      </c>
      <c r="J1706" s="9"/>
      <c r="K1706" s="9"/>
      <c r="L1706" s="9"/>
    </row>
    <row r="1707" spans="2:12" ht="15" x14ac:dyDescent="0.25">
      <c r="B1707" t="s">
        <v>1519</v>
      </c>
      <c r="C1707" t="s">
        <v>1520</v>
      </c>
      <c r="D1707" t="str">
        <f>HYPERLINK("https://rhld.insurance.arkansas.gov/NPILookup?Npi=1649383514","1649383514")</f>
        <v>1649383514</v>
      </c>
      <c r="E1707" t="s">
        <v>1763</v>
      </c>
      <c r="F1707" t="s">
        <v>13</v>
      </c>
      <c r="G1707" s="20">
        <v>1</v>
      </c>
      <c r="H1707" t="s">
        <v>4357</v>
      </c>
      <c r="I1707" t="s">
        <v>32</v>
      </c>
      <c r="J1707" s="9"/>
      <c r="K1707" s="9"/>
      <c r="L1707" s="9"/>
    </row>
    <row r="1708" spans="2:12" ht="15" x14ac:dyDescent="0.25">
      <c r="B1708" t="s">
        <v>1519</v>
      </c>
      <c r="C1708" t="s">
        <v>1520</v>
      </c>
      <c r="D1708" t="str">
        <f>HYPERLINK("https://rhld.insurance.arkansas.gov/NPILookup?Npi=1649700063","1649700063")</f>
        <v>1649700063</v>
      </c>
      <c r="E1708" t="s">
        <v>1764</v>
      </c>
      <c r="F1708" t="s">
        <v>12</v>
      </c>
      <c r="G1708" s="20">
        <v>1</v>
      </c>
      <c r="H1708" t="s">
        <v>4338</v>
      </c>
      <c r="I1708" t="s">
        <v>32</v>
      </c>
      <c r="J1708" s="9"/>
      <c r="K1708" s="9"/>
      <c r="L1708" s="9"/>
    </row>
    <row r="1709" spans="2:12" ht="15" x14ac:dyDescent="0.25">
      <c r="B1709" t="s">
        <v>1519</v>
      </c>
      <c r="C1709" t="s">
        <v>1520</v>
      </c>
      <c r="D1709" t="str">
        <f>HYPERLINK("https://rhld.insurance.arkansas.gov/NPILookup?Npi=1659098804","1659098804")</f>
        <v>1659098804</v>
      </c>
      <c r="E1709" t="s">
        <v>1765</v>
      </c>
      <c r="F1709" t="s">
        <v>13</v>
      </c>
      <c r="G1709" s="20">
        <v>1</v>
      </c>
      <c r="H1709" t="s">
        <v>1533</v>
      </c>
      <c r="I1709" t="s">
        <v>4357</v>
      </c>
      <c r="J1709" s="9"/>
      <c r="K1709" s="9"/>
      <c r="L1709" s="9"/>
    </row>
    <row r="1710" spans="2:12" ht="15" x14ac:dyDescent="0.25">
      <c r="B1710" t="s">
        <v>1519</v>
      </c>
      <c r="C1710" t="s">
        <v>1520</v>
      </c>
      <c r="D1710" t="str">
        <f>HYPERLINK("https://rhld.insurance.arkansas.gov/NPILookup?Npi=1659621571","1659621571")</f>
        <v>1659621571</v>
      </c>
      <c r="E1710" t="s">
        <v>1767</v>
      </c>
      <c r="F1710" t="s">
        <v>13</v>
      </c>
      <c r="G1710" s="20">
        <v>1</v>
      </c>
      <c r="H1710" t="s">
        <v>1533</v>
      </c>
      <c r="I1710" t="s">
        <v>4357</v>
      </c>
      <c r="J1710" s="9"/>
      <c r="K1710" s="9"/>
      <c r="L1710" s="9"/>
    </row>
    <row r="1711" spans="2:12" ht="15" x14ac:dyDescent="0.25">
      <c r="B1711" t="s">
        <v>1519</v>
      </c>
      <c r="C1711" t="s">
        <v>1520</v>
      </c>
      <c r="D1711" t="str">
        <f>HYPERLINK("https://rhld.insurance.arkansas.gov/NPILookup?Npi=1659778827","1659778827")</f>
        <v>1659778827</v>
      </c>
      <c r="E1711" t="s">
        <v>1769</v>
      </c>
      <c r="F1711" t="s">
        <v>12</v>
      </c>
      <c r="G1711" s="20">
        <v>1</v>
      </c>
      <c r="H1711" t="s">
        <v>4338</v>
      </c>
      <c r="I1711" t="s">
        <v>32</v>
      </c>
      <c r="J1711" s="9"/>
      <c r="K1711" s="9"/>
      <c r="L1711" s="9"/>
    </row>
    <row r="1712" spans="2:12" ht="15" x14ac:dyDescent="0.25">
      <c r="B1712" t="s">
        <v>1519</v>
      </c>
      <c r="C1712" t="s">
        <v>1520</v>
      </c>
      <c r="D1712" t="str">
        <f>HYPERLINK("https://rhld.insurance.arkansas.gov/NPILookup?Npi=1659894186","1659894186")</f>
        <v>1659894186</v>
      </c>
      <c r="E1712" t="s">
        <v>1770</v>
      </c>
      <c r="F1712" t="s">
        <v>13</v>
      </c>
      <c r="G1712" s="20">
        <v>1</v>
      </c>
      <c r="H1712" t="s">
        <v>4357</v>
      </c>
      <c r="I1712" t="s">
        <v>4357</v>
      </c>
      <c r="J1712" s="9"/>
      <c r="K1712" s="9"/>
      <c r="L1712" s="9"/>
    </row>
    <row r="1713" spans="2:12" ht="15" x14ac:dyDescent="0.25">
      <c r="B1713" t="s">
        <v>1519</v>
      </c>
      <c r="C1713" t="s">
        <v>1520</v>
      </c>
      <c r="D1713" t="str">
        <f>HYPERLINK("https://rhld.insurance.arkansas.gov/NPILookup?Npi=1669056305","1669056305")</f>
        <v>1669056305</v>
      </c>
      <c r="E1713" t="s">
        <v>1771</v>
      </c>
      <c r="F1713" t="s">
        <v>13</v>
      </c>
      <c r="G1713" s="20">
        <v>2</v>
      </c>
      <c r="H1713" t="s">
        <v>1772</v>
      </c>
      <c r="I1713" t="s">
        <v>4357</v>
      </c>
      <c r="J1713" s="9"/>
      <c r="K1713" s="9"/>
      <c r="L1713" s="9"/>
    </row>
    <row r="1714" spans="2:12" ht="15" x14ac:dyDescent="0.25">
      <c r="B1714" t="s">
        <v>1519</v>
      </c>
      <c r="C1714" t="s">
        <v>1520</v>
      </c>
      <c r="D1714" t="str">
        <f>HYPERLINK("https://rhld.insurance.arkansas.gov/NPILookup?Npi=1669107066","1669107066")</f>
        <v>1669107066</v>
      </c>
      <c r="E1714" t="s">
        <v>1773</v>
      </c>
      <c r="F1714" t="s">
        <v>13</v>
      </c>
      <c r="G1714" s="20">
        <v>1</v>
      </c>
      <c r="H1714" t="s">
        <v>1533</v>
      </c>
      <c r="I1714" t="s">
        <v>4357</v>
      </c>
      <c r="J1714" s="9"/>
      <c r="K1714" s="9"/>
      <c r="L1714" s="9"/>
    </row>
    <row r="1715" spans="2:12" ht="15" x14ac:dyDescent="0.25">
      <c r="B1715" t="s">
        <v>1519</v>
      </c>
      <c r="C1715" t="s">
        <v>1520</v>
      </c>
      <c r="D1715" t="str">
        <f>HYPERLINK("https://rhld.insurance.arkansas.gov/NPILookup?Npi=1669180873","1669180873")</f>
        <v>1669180873</v>
      </c>
      <c r="E1715" t="s">
        <v>1774</v>
      </c>
      <c r="F1715" t="s">
        <v>13</v>
      </c>
      <c r="G1715" s="20">
        <v>1</v>
      </c>
      <c r="H1715" t="s">
        <v>1533</v>
      </c>
      <c r="I1715" t="s">
        <v>4357</v>
      </c>
      <c r="J1715" s="9"/>
      <c r="K1715" s="9"/>
      <c r="L1715" s="9"/>
    </row>
    <row r="1716" spans="2:12" ht="15" x14ac:dyDescent="0.25">
      <c r="B1716" t="s">
        <v>1519</v>
      </c>
      <c r="C1716" t="s">
        <v>1520</v>
      </c>
      <c r="D1716" t="str">
        <f>HYPERLINK("https://rhld.insurance.arkansas.gov/NPILookup?Npi=1669210142","1669210142")</f>
        <v>1669210142</v>
      </c>
      <c r="E1716" t="s">
        <v>1775</v>
      </c>
      <c r="F1716" t="s">
        <v>13</v>
      </c>
      <c r="G1716" s="20">
        <v>1</v>
      </c>
      <c r="H1716" t="s">
        <v>4357</v>
      </c>
      <c r="I1716" t="s">
        <v>4357</v>
      </c>
      <c r="J1716" s="9"/>
      <c r="K1716" s="9"/>
      <c r="L1716" s="9"/>
    </row>
    <row r="1717" spans="2:12" ht="15" x14ac:dyDescent="0.25">
      <c r="B1717" t="s">
        <v>1519</v>
      </c>
      <c r="C1717" t="s">
        <v>1520</v>
      </c>
      <c r="D1717" t="str">
        <f>HYPERLINK("https://rhld.insurance.arkansas.gov/NPILookup?Npi=1669277646","1669277646")</f>
        <v>1669277646</v>
      </c>
      <c r="E1717" t="s">
        <v>1776</v>
      </c>
      <c r="F1717" t="s">
        <v>13</v>
      </c>
      <c r="G1717" s="20">
        <v>1</v>
      </c>
      <c r="H1717" t="s">
        <v>1533</v>
      </c>
      <c r="I1717" t="s">
        <v>4357</v>
      </c>
      <c r="J1717" s="9"/>
      <c r="K1717" s="9"/>
      <c r="L1717" s="9"/>
    </row>
    <row r="1718" spans="2:12" ht="15" x14ac:dyDescent="0.25">
      <c r="B1718" t="s">
        <v>1519</v>
      </c>
      <c r="C1718" t="s">
        <v>1520</v>
      </c>
      <c r="D1718" t="str">
        <f>HYPERLINK("https://rhld.insurance.arkansas.gov/NPILookup?Npi=1669572871","1669572871")</f>
        <v>1669572871</v>
      </c>
      <c r="E1718" t="s">
        <v>1253</v>
      </c>
      <c r="F1718" t="s">
        <v>12</v>
      </c>
      <c r="G1718" s="20">
        <v>1</v>
      </c>
      <c r="H1718" t="s">
        <v>4338</v>
      </c>
      <c r="I1718" t="s">
        <v>4357</v>
      </c>
      <c r="J1718" s="9"/>
      <c r="K1718" s="9"/>
      <c r="L1718" s="9"/>
    </row>
    <row r="1719" spans="2:12" ht="15" x14ac:dyDescent="0.25">
      <c r="B1719" t="s">
        <v>1519</v>
      </c>
      <c r="C1719" t="s">
        <v>1520</v>
      </c>
      <c r="D1719" t="str">
        <f>HYPERLINK("https://rhld.insurance.arkansas.gov/NPILookup?Npi=1669789160","1669789160")</f>
        <v>1669789160</v>
      </c>
      <c r="E1719" t="s">
        <v>1777</v>
      </c>
      <c r="F1719" t="s">
        <v>12</v>
      </c>
      <c r="G1719" s="20">
        <v>1</v>
      </c>
      <c r="H1719" t="s">
        <v>4338</v>
      </c>
      <c r="I1719" t="s">
        <v>32</v>
      </c>
      <c r="J1719" s="9"/>
      <c r="K1719" s="9"/>
      <c r="L1719" s="9"/>
    </row>
    <row r="1720" spans="2:12" ht="15" x14ac:dyDescent="0.25">
      <c r="B1720" t="s">
        <v>1519</v>
      </c>
      <c r="C1720" t="s">
        <v>1520</v>
      </c>
      <c r="D1720" t="str">
        <f>HYPERLINK("https://rhld.insurance.arkansas.gov/NPILookup?Npi=1679046098","1679046098")</f>
        <v>1679046098</v>
      </c>
      <c r="E1720" t="s">
        <v>1778</v>
      </c>
      <c r="F1720" t="s">
        <v>13</v>
      </c>
      <c r="G1720" s="20">
        <v>2</v>
      </c>
      <c r="H1720" t="s">
        <v>1548</v>
      </c>
      <c r="I1720" t="s">
        <v>4357</v>
      </c>
      <c r="J1720" s="9"/>
      <c r="K1720" s="9"/>
      <c r="L1720" s="9"/>
    </row>
    <row r="1721" spans="2:12" ht="15" x14ac:dyDescent="0.25">
      <c r="B1721" t="s">
        <v>1519</v>
      </c>
      <c r="C1721" t="s">
        <v>1520</v>
      </c>
      <c r="D1721" t="str">
        <f>HYPERLINK("https://rhld.insurance.arkansas.gov/NPILookup?Npi=1689003964","1689003964")</f>
        <v>1689003964</v>
      </c>
      <c r="E1721" t="s">
        <v>1779</v>
      </c>
      <c r="F1721" t="s">
        <v>13</v>
      </c>
      <c r="G1721" s="20">
        <v>1</v>
      </c>
      <c r="H1721" t="s">
        <v>4357</v>
      </c>
      <c r="I1721" t="s">
        <v>4357</v>
      </c>
      <c r="J1721" s="9"/>
      <c r="K1721" s="9"/>
      <c r="L1721" s="9"/>
    </row>
    <row r="1722" spans="2:12" ht="15" x14ac:dyDescent="0.25">
      <c r="B1722" t="s">
        <v>1519</v>
      </c>
      <c r="C1722" t="s">
        <v>1520</v>
      </c>
      <c r="D1722" t="str">
        <f>HYPERLINK("https://rhld.insurance.arkansas.gov/NPILookup?Npi=1689203986","1689203986")</f>
        <v>1689203986</v>
      </c>
      <c r="E1722" t="s">
        <v>1780</v>
      </c>
      <c r="F1722" t="s">
        <v>13</v>
      </c>
      <c r="G1722" s="20">
        <v>1</v>
      </c>
      <c r="H1722" t="s">
        <v>4357</v>
      </c>
      <c r="I1722" t="s">
        <v>4357</v>
      </c>
      <c r="J1722" s="9"/>
      <c r="K1722" s="9"/>
      <c r="L1722" s="9"/>
    </row>
    <row r="1723" spans="2:12" ht="15" x14ac:dyDescent="0.25">
      <c r="B1723" t="s">
        <v>1519</v>
      </c>
      <c r="C1723" t="s">
        <v>1520</v>
      </c>
      <c r="D1723" t="str">
        <f>HYPERLINK("https://rhld.insurance.arkansas.gov/NPILookup?Npi=1689253205","1689253205")</f>
        <v>1689253205</v>
      </c>
      <c r="E1723" t="s">
        <v>1781</v>
      </c>
      <c r="F1723" t="s">
        <v>13</v>
      </c>
      <c r="G1723" s="20">
        <v>1</v>
      </c>
      <c r="H1723" t="s">
        <v>4357</v>
      </c>
      <c r="I1723" t="s">
        <v>4357</v>
      </c>
      <c r="J1723" s="9"/>
      <c r="K1723" s="9"/>
      <c r="L1723" s="9"/>
    </row>
    <row r="1724" spans="2:12" ht="15" x14ac:dyDescent="0.25">
      <c r="B1724" t="s">
        <v>1519</v>
      </c>
      <c r="C1724" t="s">
        <v>1520</v>
      </c>
      <c r="D1724" t="str">
        <f>HYPERLINK("https://rhld.insurance.arkansas.gov/NPILookup?Npi=1689327611","1689327611")</f>
        <v>1689327611</v>
      </c>
      <c r="E1724" t="s">
        <v>1782</v>
      </c>
      <c r="F1724" t="s">
        <v>13</v>
      </c>
      <c r="G1724" s="20">
        <v>1</v>
      </c>
      <c r="H1724" t="s">
        <v>1533</v>
      </c>
      <c r="I1724" t="s">
        <v>4357</v>
      </c>
      <c r="J1724" s="9"/>
      <c r="K1724" s="9"/>
      <c r="L1724" s="9"/>
    </row>
    <row r="1725" spans="2:12" ht="15" x14ac:dyDescent="0.25">
      <c r="B1725" t="s">
        <v>1519</v>
      </c>
      <c r="C1725" t="s">
        <v>1520</v>
      </c>
      <c r="D1725" t="str">
        <f>HYPERLINK("https://rhld.insurance.arkansas.gov/NPILookup?Npi=1689356495","1689356495")</f>
        <v>1689356495</v>
      </c>
      <c r="E1725" t="s">
        <v>1783</v>
      </c>
      <c r="F1725" t="s">
        <v>13</v>
      </c>
      <c r="G1725" s="20">
        <v>1</v>
      </c>
      <c r="H1725" t="s">
        <v>4357</v>
      </c>
      <c r="I1725" t="s">
        <v>4357</v>
      </c>
      <c r="J1725" s="9"/>
      <c r="K1725" s="9"/>
      <c r="L1725" s="9"/>
    </row>
    <row r="1726" spans="2:12" ht="15" x14ac:dyDescent="0.25">
      <c r="B1726" t="s">
        <v>1519</v>
      </c>
      <c r="C1726" t="s">
        <v>1520</v>
      </c>
      <c r="D1726" t="str">
        <f>HYPERLINK("https://rhld.insurance.arkansas.gov/NPILookup?Npi=1689420028","1689420028")</f>
        <v>1689420028</v>
      </c>
      <c r="E1726" t="s">
        <v>1784</v>
      </c>
      <c r="F1726" t="s">
        <v>13</v>
      </c>
      <c r="G1726" s="20">
        <v>1</v>
      </c>
      <c r="H1726" t="s">
        <v>1533</v>
      </c>
      <c r="I1726" t="s">
        <v>4357</v>
      </c>
      <c r="J1726" s="9"/>
      <c r="K1726" s="9"/>
      <c r="L1726" s="9"/>
    </row>
    <row r="1727" spans="2:12" ht="15" x14ac:dyDescent="0.25">
      <c r="B1727" t="s">
        <v>1519</v>
      </c>
      <c r="C1727" t="s">
        <v>1520</v>
      </c>
      <c r="D1727" t="str">
        <f>HYPERLINK("https://rhld.insurance.arkansas.gov/NPILookup?Npi=1689835225","1689835225")</f>
        <v>1689835225</v>
      </c>
      <c r="E1727" t="s">
        <v>1785</v>
      </c>
      <c r="F1727" t="s">
        <v>12</v>
      </c>
      <c r="G1727" s="20">
        <v>1</v>
      </c>
      <c r="H1727" t="s">
        <v>4338</v>
      </c>
      <c r="I1727" t="s">
        <v>32</v>
      </c>
      <c r="J1727" s="9"/>
      <c r="K1727" s="9"/>
      <c r="L1727" s="9"/>
    </row>
    <row r="1728" spans="2:12" ht="15" x14ac:dyDescent="0.25">
      <c r="B1728" t="s">
        <v>1519</v>
      </c>
      <c r="C1728" t="s">
        <v>1520</v>
      </c>
      <c r="D1728" t="str">
        <f>HYPERLINK("https://rhld.insurance.arkansas.gov/NPILookup?Npi=1699057851","1699057851")</f>
        <v>1699057851</v>
      </c>
      <c r="E1728" t="s">
        <v>1786</v>
      </c>
      <c r="F1728" t="s">
        <v>12</v>
      </c>
      <c r="G1728" s="20">
        <v>1</v>
      </c>
      <c r="H1728" t="s">
        <v>141</v>
      </c>
      <c r="I1728" t="s">
        <v>32</v>
      </c>
      <c r="J1728" s="9"/>
      <c r="K1728" s="9"/>
      <c r="L1728" s="9"/>
    </row>
    <row r="1729" spans="2:12" ht="15" x14ac:dyDescent="0.25">
      <c r="B1729" t="s">
        <v>1519</v>
      </c>
      <c r="C1729" t="s">
        <v>1520</v>
      </c>
      <c r="D1729" t="str">
        <f>HYPERLINK("https://rhld.insurance.arkansas.gov/NPILookup?Npi=1699513739","1699513739")</f>
        <v>1699513739</v>
      </c>
      <c r="E1729" t="s">
        <v>1788</v>
      </c>
      <c r="F1729" t="s">
        <v>13</v>
      </c>
      <c r="G1729" s="20">
        <v>1</v>
      </c>
      <c r="H1729" t="s">
        <v>4357</v>
      </c>
      <c r="I1729" t="s">
        <v>4357</v>
      </c>
      <c r="J1729" s="9"/>
      <c r="K1729" s="9"/>
      <c r="L1729" s="9"/>
    </row>
    <row r="1730" spans="2:12" ht="15" x14ac:dyDescent="0.25">
      <c r="B1730" t="s">
        <v>1519</v>
      </c>
      <c r="C1730" t="s">
        <v>1520</v>
      </c>
      <c r="D1730" t="str">
        <f>HYPERLINK("https://rhld.insurance.arkansas.gov/NPILookup?Npi=1699578724","1699578724")</f>
        <v>1699578724</v>
      </c>
      <c r="E1730" t="s">
        <v>1789</v>
      </c>
      <c r="F1730" t="s">
        <v>13</v>
      </c>
      <c r="G1730" s="20">
        <v>1</v>
      </c>
      <c r="H1730" t="s">
        <v>4357</v>
      </c>
      <c r="I1730" t="s">
        <v>4357</v>
      </c>
      <c r="J1730" s="9"/>
      <c r="K1730" s="9"/>
      <c r="L1730" s="9"/>
    </row>
    <row r="1731" spans="2:12" ht="15" x14ac:dyDescent="0.25">
      <c r="B1731" t="s">
        <v>1519</v>
      </c>
      <c r="C1731" t="s">
        <v>1520</v>
      </c>
      <c r="D1731" t="str">
        <f>HYPERLINK("https://rhld.insurance.arkansas.gov/NPILookup?Npi=1700512720","1700512720")</f>
        <v>1700512720</v>
      </c>
      <c r="E1731" t="s">
        <v>1790</v>
      </c>
      <c r="F1731" t="s">
        <v>13</v>
      </c>
      <c r="G1731" s="20">
        <v>2</v>
      </c>
      <c r="H1731" t="s">
        <v>1548</v>
      </c>
      <c r="I1731" t="s">
        <v>4357</v>
      </c>
      <c r="J1731" s="9"/>
      <c r="K1731" s="9"/>
      <c r="L1731" s="9"/>
    </row>
    <row r="1732" spans="2:12" ht="15" x14ac:dyDescent="0.25">
      <c r="B1732" t="s">
        <v>1519</v>
      </c>
      <c r="C1732" t="s">
        <v>1520</v>
      </c>
      <c r="D1732" t="str">
        <f>HYPERLINK("https://rhld.insurance.arkansas.gov/NPILookup?Npi=1700692183","1700692183")</f>
        <v>1700692183</v>
      </c>
      <c r="E1732" t="s">
        <v>1791</v>
      </c>
      <c r="F1732" t="s">
        <v>13</v>
      </c>
      <c r="G1732" s="20">
        <v>1</v>
      </c>
      <c r="H1732" t="s">
        <v>1533</v>
      </c>
      <c r="I1732" t="s">
        <v>4357</v>
      </c>
      <c r="J1732" s="9"/>
      <c r="K1732" s="9"/>
      <c r="L1732" s="9"/>
    </row>
    <row r="1733" spans="2:12" ht="15" x14ac:dyDescent="0.25">
      <c r="B1733" t="s">
        <v>1519</v>
      </c>
      <c r="C1733" t="s">
        <v>1520</v>
      </c>
      <c r="D1733" t="str">
        <f>HYPERLINK("https://rhld.insurance.arkansas.gov/NPILookup?Npi=1710344981","1710344981")</f>
        <v>1710344981</v>
      </c>
      <c r="E1733" t="s">
        <v>1792</v>
      </c>
      <c r="F1733" t="s">
        <v>12</v>
      </c>
      <c r="G1733" s="20">
        <v>1</v>
      </c>
      <c r="H1733" t="s">
        <v>4338</v>
      </c>
      <c r="I1733" t="s">
        <v>32</v>
      </c>
      <c r="J1733" s="9"/>
      <c r="K1733" s="9"/>
      <c r="L1733" s="9"/>
    </row>
    <row r="1734" spans="2:12" ht="15" x14ac:dyDescent="0.25">
      <c r="B1734" t="s">
        <v>1519</v>
      </c>
      <c r="C1734" t="s">
        <v>1520</v>
      </c>
      <c r="D1734" t="str">
        <f>HYPERLINK("https://rhld.insurance.arkansas.gov/NPILookup?Npi=1710568910","1710568910")</f>
        <v>1710568910</v>
      </c>
      <c r="E1734" t="s">
        <v>1793</v>
      </c>
      <c r="F1734" t="s">
        <v>13</v>
      </c>
      <c r="G1734" s="20">
        <v>1</v>
      </c>
      <c r="H1734" t="s">
        <v>4357</v>
      </c>
      <c r="I1734" t="s">
        <v>4357</v>
      </c>
      <c r="J1734" s="9"/>
      <c r="K1734" s="9"/>
      <c r="L1734" s="9"/>
    </row>
    <row r="1735" spans="2:12" ht="15" x14ac:dyDescent="0.25">
      <c r="B1735" t="s">
        <v>1519</v>
      </c>
      <c r="C1735" t="s">
        <v>1520</v>
      </c>
      <c r="D1735" t="str">
        <f>HYPERLINK("https://rhld.insurance.arkansas.gov/NPILookup?Npi=1710591631","1710591631")</f>
        <v>1710591631</v>
      </c>
      <c r="E1735" t="s">
        <v>1794</v>
      </c>
      <c r="F1735" t="s">
        <v>13</v>
      </c>
      <c r="G1735" s="20">
        <v>1</v>
      </c>
      <c r="H1735" t="s">
        <v>4357</v>
      </c>
      <c r="I1735" t="s">
        <v>4357</v>
      </c>
      <c r="J1735" s="9"/>
      <c r="K1735" s="9"/>
      <c r="L1735" s="9"/>
    </row>
    <row r="1736" spans="2:12" ht="15" x14ac:dyDescent="0.25">
      <c r="B1736" t="s">
        <v>1519</v>
      </c>
      <c r="C1736" t="s">
        <v>1520</v>
      </c>
      <c r="D1736" t="str">
        <f>HYPERLINK("https://rhld.insurance.arkansas.gov/NPILookup?Npi=1710650189","1710650189")</f>
        <v>1710650189</v>
      </c>
      <c r="E1736" t="s">
        <v>1795</v>
      </c>
      <c r="F1736" t="s">
        <v>13</v>
      </c>
      <c r="G1736" s="20">
        <v>1</v>
      </c>
      <c r="H1736" t="s">
        <v>4357</v>
      </c>
      <c r="I1736" t="s">
        <v>4357</v>
      </c>
      <c r="J1736" s="9"/>
      <c r="K1736" s="9"/>
      <c r="L1736" s="9"/>
    </row>
    <row r="1737" spans="2:12" ht="15" x14ac:dyDescent="0.25">
      <c r="B1737" t="s">
        <v>1519</v>
      </c>
      <c r="C1737" t="s">
        <v>1520</v>
      </c>
      <c r="D1737" t="str">
        <f>HYPERLINK("https://rhld.insurance.arkansas.gov/NPILookup?Npi=1710964226","1710964226")</f>
        <v>1710964226</v>
      </c>
      <c r="E1737" t="s">
        <v>1796</v>
      </c>
      <c r="F1737" t="s">
        <v>12</v>
      </c>
      <c r="G1737" s="20">
        <v>1</v>
      </c>
      <c r="H1737" t="s">
        <v>4338</v>
      </c>
      <c r="I1737" t="s">
        <v>32</v>
      </c>
      <c r="J1737" s="9"/>
      <c r="K1737" s="9"/>
      <c r="L1737" s="9"/>
    </row>
    <row r="1738" spans="2:12" ht="15" x14ac:dyDescent="0.25">
      <c r="B1738" t="s">
        <v>1519</v>
      </c>
      <c r="C1738" t="s">
        <v>1520</v>
      </c>
      <c r="D1738" t="str">
        <f>HYPERLINK("https://rhld.insurance.arkansas.gov/NPILookup?Npi=1720519085","1720519085")</f>
        <v>1720519085</v>
      </c>
      <c r="E1738" t="s">
        <v>1797</v>
      </c>
      <c r="F1738" t="s">
        <v>12</v>
      </c>
      <c r="G1738" s="20">
        <v>1</v>
      </c>
      <c r="H1738" t="s">
        <v>4338</v>
      </c>
      <c r="I1738" t="s">
        <v>32</v>
      </c>
      <c r="J1738" s="9"/>
      <c r="K1738" s="9"/>
      <c r="L1738" s="9"/>
    </row>
    <row r="1739" spans="2:12" ht="15" x14ac:dyDescent="0.25">
      <c r="B1739" t="s">
        <v>1519</v>
      </c>
      <c r="C1739" t="s">
        <v>1520</v>
      </c>
      <c r="D1739" t="str">
        <f>HYPERLINK("https://rhld.insurance.arkansas.gov/NPILookup?Npi=1720595416","1720595416")</f>
        <v>1720595416</v>
      </c>
      <c r="E1739" t="s">
        <v>1798</v>
      </c>
      <c r="F1739" t="s">
        <v>13</v>
      </c>
      <c r="G1739" s="20">
        <v>1</v>
      </c>
      <c r="H1739" t="s">
        <v>1533</v>
      </c>
      <c r="I1739" t="s">
        <v>4357</v>
      </c>
      <c r="J1739" s="9"/>
      <c r="K1739" s="9"/>
      <c r="L1739" s="9"/>
    </row>
    <row r="1740" spans="2:12" ht="15" x14ac:dyDescent="0.25">
      <c r="B1740" t="s">
        <v>1519</v>
      </c>
      <c r="C1740" t="s">
        <v>1520</v>
      </c>
      <c r="D1740" t="str">
        <f>HYPERLINK("https://rhld.insurance.arkansas.gov/NPILookup?Npi=1720613482","1720613482")</f>
        <v>1720613482</v>
      </c>
      <c r="E1740" t="s">
        <v>1799</v>
      </c>
      <c r="F1740" t="s">
        <v>12</v>
      </c>
      <c r="G1740" s="20">
        <v>1</v>
      </c>
      <c r="H1740" t="s">
        <v>4338</v>
      </c>
      <c r="I1740" t="s">
        <v>32</v>
      </c>
      <c r="J1740" s="9"/>
      <c r="K1740" s="9"/>
      <c r="L1740" s="9"/>
    </row>
    <row r="1741" spans="2:12" ht="15" x14ac:dyDescent="0.25">
      <c r="B1741" t="s">
        <v>1519</v>
      </c>
      <c r="C1741" t="s">
        <v>1520</v>
      </c>
      <c r="D1741" t="str">
        <f>HYPERLINK("https://rhld.insurance.arkansas.gov/NPILookup?Npi=1730296591","1730296591")</f>
        <v>1730296591</v>
      </c>
      <c r="E1741" t="s">
        <v>1801</v>
      </c>
      <c r="F1741" t="s">
        <v>12</v>
      </c>
      <c r="G1741" s="20">
        <v>1</v>
      </c>
      <c r="H1741" t="s">
        <v>4338</v>
      </c>
      <c r="I1741" t="s">
        <v>32</v>
      </c>
      <c r="J1741" s="9"/>
      <c r="K1741" s="9"/>
      <c r="L1741" s="9"/>
    </row>
    <row r="1742" spans="2:12" ht="15" x14ac:dyDescent="0.25">
      <c r="B1742" t="s">
        <v>1519</v>
      </c>
      <c r="C1742" t="s">
        <v>1520</v>
      </c>
      <c r="D1742" t="str">
        <f>HYPERLINK("https://rhld.insurance.arkansas.gov/NPILookup?Npi=1730901588","1730901588")</f>
        <v>1730901588</v>
      </c>
      <c r="E1742" t="s">
        <v>1802</v>
      </c>
      <c r="F1742" t="s">
        <v>13</v>
      </c>
      <c r="G1742" s="20">
        <v>1</v>
      </c>
      <c r="H1742" t="s">
        <v>1533</v>
      </c>
      <c r="I1742" t="s">
        <v>4357</v>
      </c>
      <c r="J1742" s="9"/>
      <c r="K1742" s="9"/>
      <c r="L1742" s="9"/>
    </row>
    <row r="1743" spans="2:12" ht="15" x14ac:dyDescent="0.25">
      <c r="B1743" t="s">
        <v>1519</v>
      </c>
      <c r="C1743" t="s">
        <v>1520</v>
      </c>
      <c r="D1743" t="str">
        <f>HYPERLINK("https://rhld.insurance.arkansas.gov/NPILookup?Npi=1740063502","1740063502")</f>
        <v>1740063502</v>
      </c>
      <c r="E1743" t="s">
        <v>1803</v>
      </c>
      <c r="F1743" t="s">
        <v>13</v>
      </c>
      <c r="G1743" s="20">
        <v>1</v>
      </c>
      <c r="H1743" t="s">
        <v>4357</v>
      </c>
      <c r="I1743" t="s">
        <v>4357</v>
      </c>
      <c r="J1743" s="9"/>
      <c r="K1743" s="9"/>
      <c r="L1743" s="9"/>
    </row>
    <row r="1744" spans="2:12" ht="15" x14ac:dyDescent="0.25">
      <c r="B1744" t="s">
        <v>1519</v>
      </c>
      <c r="C1744" t="s">
        <v>1520</v>
      </c>
      <c r="D1744" t="str">
        <f>HYPERLINK("https://rhld.insurance.arkansas.gov/NPILookup?Npi=1740283910","1740283910")</f>
        <v>1740283910</v>
      </c>
      <c r="E1744" t="s">
        <v>1805</v>
      </c>
      <c r="F1744" t="s">
        <v>12</v>
      </c>
      <c r="G1744" s="20">
        <v>1</v>
      </c>
      <c r="H1744" t="s">
        <v>4338</v>
      </c>
      <c r="I1744" t="s">
        <v>4357</v>
      </c>
      <c r="J1744" s="9"/>
      <c r="K1744" s="9"/>
      <c r="L1744" s="9"/>
    </row>
    <row r="1745" spans="2:12" ht="15" x14ac:dyDescent="0.25">
      <c r="B1745" t="s">
        <v>1519</v>
      </c>
      <c r="C1745" t="s">
        <v>1520</v>
      </c>
      <c r="D1745" t="str">
        <f>HYPERLINK("https://rhld.insurance.arkansas.gov/NPILookup?Npi=1740424522","1740424522")</f>
        <v>1740424522</v>
      </c>
      <c r="E1745" t="s">
        <v>1806</v>
      </c>
      <c r="F1745" t="s">
        <v>12</v>
      </c>
      <c r="G1745" s="20">
        <v>1</v>
      </c>
      <c r="H1745" t="s">
        <v>4338</v>
      </c>
      <c r="I1745" t="s">
        <v>32</v>
      </c>
      <c r="J1745" s="9"/>
      <c r="K1745" s="9"/>
      <c r="L1745" s="9"/>
    </row>
    <row r="1746" spans="2:12" ht="15" x14ac:dyDescent="0.25">
      <c r="B1746" t="s">
        <v>1519</v>
      </c>
      <c r="C1746" t="s">
        <v>1520</v>
      </c>
      <c r="D1746" t="str">
        <f>HYPERLINK("https://rhld.insurance.arkansas.gov/NPILookup?Npi=1750053492","1750053492")</f>
        <v>1750053492</v>
      </c>
      <c r="E1746" t="s">
        <v>1808</v>
      </c>
      <c r="F1746" t="s">
        <v>13</v>
      </c>
      <c r="G1746" s="20">
        <v>1</v>
      </c>
      <c r="H1746" t="s">
        <v>4357</v>
      </c>
      <c r="I1746" t="s">
        <v>4357</v>
      </c>
      <c r="J1746" s="9"/>
      <c r="K1746" s="9"/>
      <c r="L1746" s="9"/>
    </row>
    <row r="1747" spans="2:12" ht="15" x14ac:dyDescent="0.25">
      <c r="B1747" t="s">
        <v>1519</v>
      </c>
      <c r="C1747" t="s">
        <v>1520</v>
      </c>
      <c r="D1747" t="str">
        <f>HYPERLINK("https://rhld.insurance.arkansas.gov/NPILookup?Npi=1760438642","1760438642")</f>
        <v>1760438642</v>
      </c>
      <c r="E1747" t="s">
        <v>1810</v>
      </c>
      <c r="F1747" t="s">
        <v>12</v>
      </c>
      <c r="G1747" s="20">
        <v>1</v>
      </c>
      <c r="H1747" t="s">
        <v>4338</v>
      </c>
      <c r="I1747" t="s">
        <v>32</v>
      </c>
      <c r="J1747" s="9"/>
      <c r="K1747" s="9"/>
      <c r="L1747" s="9"/>
    </row>
    <row r="1748" spans="2:12" ht="15" x14ac:dyDescent="0.25">
      <c r="B1748" t="s">
        <v>1519</v>
      </c>
      <c r="C1748" t="s">
        <v>1520</v>
      </c>
      <c r="D1748" t="str">
        <f>HYPERLINK("https://rhld.insurance.arkansas.gov/NPILookup?Npi=1760688832","1760688832")</f>
        <v>1760688832</v>
      </c>
      <c r="E1748" t="s">
        <v>1811</v>
      </c>
      <c r="F1748" t="s">
        <v>13</v>
      </c>
      <c r="G1748" s="20">
        <v>1</v>
      </c>
      <c r="H1748" t="s">
        <v>1533</v>
      </c>
      <c r="I1748" t="s">
        <v>32</v>
      </c>
      <c r="J1748" s="9"/>
      <c r="K1748" s="9"/>
      <c r="L1748" s="9"/>
    </row>
    <row r="1749" spans="2:12" ht="15" x14ac:dyDescent="0.25">
      <c r="B1749" t="s">
        <v>1519</v>
      </c>
      <c r="C1749" t="s">
        <v>1520</v>
      </c>
      <c r="D1749" t="str">
        <f>HYPERLINK("https://rhld.insurance.arkansas.gov/NPILookup?Npi=1770169385","1770169385")</f>
        <v>1770169385</v>
      </c>
      <c r="E1749" t="s">
        <v>1812</v>
      </c>
      <c r="F1749" t="s">
        <v>13</v>
      </c>
      <c r="G1749" s="20">
        <v>1</v>
      </c>
      <c r="H1749" t="s">
        <v>1533</v>
      </c>
      <c r="I1749" t="s">
        <v>4357</v>
      </c>
      <c r="J1749" s="9"/>
      <c r="K1749" s="9"/>
      <c r="L1749" s="9"/>
    </row>
    <row r="1750" spans="2:12" ht="15" x14ac:dyDescent="0.25">
      <c r="B1750" t="s">
        <v>1519</v>
      </c>
      <c r="C1750" t="s">
        <v>1520</v>
      </c>
      <c r="D1750" t="str">
        <f>HYPERLINK("https://rhld.insurance.arkansas.gov/NPILookup?Npi=1770217242","1770217242")</f>
        <v>1770217242</v>
      </c>
      <c r="E1750" t="s">
        <v>1813</v>
      </c>
      <c r="F1750" t="s">
        <v>13</v>
      </c>
      <c r="G1750" s="20">
        <v>2</v>
      </c>
      <c r="H1750" t="s">
        <v>1548</v>
      </c>
      <c r="I1750" t="s">
        <v>4357</v>
      </c>
      <c r="J1750" s="9"/>
      <c r="K1750" s="9"/>
      <c r="L1750" s="9"/>
    </row>
    <row r="1751" spans="2:12" ht="15" x14ac:dyDescent="0.25">
      <c r="B1751" t="s">
        <v>1519</v>
      </c>
      <c r="C1751" t="s">
        <v>1520</v>
      </c>
      <c r="D1751" t="str">
        <f>HYPERLINK("https://rhld.insurance.arkansas.gov/NPILookup?Npi=1770303745","1770303745")</f>
        <v>1770303745</v>
      </c>
      <c r="E1751" t="s">
        <v>1814</v>
      </c>
      <c r="F1751" t="s">
        <v>13</v>
      </c>
      <c r="G1751" s="20">
        <v>1</v>
      </c>
      <c r="H1751" t="s">
        <v>4357</v>
      </c>
      <c r="I1751" t="s">
        <v>4357</v>
      </c>
      <c r="J1751" s="9"/>
      <c r="K1751" s="9"/>
      <c r="L1751" s="9"/>
    </row>
    <row r="1752" spans="2:12" ht="15" x14ac:dyDescent="0.25">
      <c r="B1752" t="s">
        <v>1519</v>
      </c>
      <c r="C1752" t="s">
        <v>1520</v>
      </c>
      <c r="D1752" t="str">
        <f>HYPERLINK("https://rhld.insurance.arkansas.gov/NPILookup?Npi=1770710774","1770710774")</f>
        <v>1770710774</v>
      </c>
      <c r="E1752" t="s">
        <v>1815</v>
      </c>
      <c r="F1752" t="s">
        <v>13</v>
      </c>
      <c r="G1752" s="20">
        <v>1</v>
      </c>
      <c r="H1752" t="s">
        <v>4357</v>
      </c>
      <c r="I1752" t="s">
        <v>4357</v>
      </c>
      <c r="J1752" s="9"/>
      <c r="K1752" s="9"/>
      <c r="L1752" s="9"/>
    </row>
    <row r="1753" spans="2:12" ht="15" x14ac:dyDescent="0.25">
      <c r="B1753" t="s">
        <v>1519</v>
      </c>
      <c r="C1753" t="s">
        <v>1520</v>
      </c>
      <c r="D1753" t="str">
        <f>HYPERLINK("https://rhld.insurance.arkansas.gov/NPILookup?Npi=1780193805","1780193805")</f>
        <v>1780193805</v>
      </c>
      <c r="E1753" t="s">
        <v>1816</v>
      </c>
      <c r="F1753" t="s">
        <v>13</v>
      </c>
      <c r="G1753" s="20">
        <v>1</v>
      </c>
      <c r="H1753" t="s">
        <v>4357</v>
      </c>
      <c r="I1753" t="s">
        <v>4357</v>
      </c>
      <c r="J1753" s="9"/>
      <c r="K1753" s="9"/>
      <c r="L1753" s="9"/>
    </row>
    <row r="1754" spans="2:12" ht="15" x14ac:dyDescent="0.25">
      <c r="B1754" t="s">
        <v>1519</v>
      </c>
      <c r="C1754" t="s">
        <v>1520</v>
      </c>
      <c r="D1754" t="str">
        <f>HYPERLINK("https://rhld.insurance.arkansas.gov/NPILookup?Npi=1780280305","1780280305")</f>
        <v>1780280305</v>
      </c>
      <c r="E1754" t="s">
        <v>1817</v>
      </c>
      <c r="F1754" t="s">
        <v>13</v>
      </c>
      <c r="G1754" s="20">
        <v>1</v>
      </c>
      <c r="H1754" t="s">
        <v>4357</v>
      </c>
      <c r="I1754" t="s">
        <v>4357</v>
      </c>
      <c r="J1754" s="9"/>
      <c r="K1754" s="9"/>
      <c r="L1754" s="9"/>
    </row>
    <row r="1755" spans="2:12" ht="15" x14ac:dyDescent="0.25">
      <c r="B1755" t="s">
        <v>1519</v>
      </c>
      <c r="C1755" t="s">
        <v>1520</v>
      </c>
      <c r="D1755" t="str">
        <f>HYPERLINK("https://rhld.insurance.arkansas.gov/NPILookup?Npi=1780466995","1780466995")</f>
        <v>1780466995</v>
      </c>
      <c r="E1755" t="s">
        <v>1818</v>
      </c>
      <c r="F1755" t="s">
        <v>13</v>
      </c>
      <c r="G1755" s="20">
        <v>1</v>
      </c>
      <c r="H1755" t="s">
        <v>4357</v>
      </c>
      <c r="I1755" t="s">
        <v>4357</v>
      </c>
      <c r="J1755" s="9"/>
      <c r="K1755" s="9"/>
      <c r="L1755" s="9"/>
    </row>
    <row r="1756" spans="2:12" ht="15" x14ac:dyDescent="0.25">
      <c r="B1756" t="s">
        <v>1519</v>
      </c>
      <c r="C1756" t="s">
        <v>1520</v>
      </c>
      <c r="D1756" t="str">
        <f>HYPERLINK("https://rhld.insurance.arkansas.gov/NPILookup?Npi=1780690230","1780690230")</f>
        <v>1780690230</v>
      </c>
      <c r="E1756" t="s">
        <v>1819</v>
      </c>
      <c r="F1756" t="s">
        <v>12</v>
      </c>
      <c r="G1756" s="20">
        <v>1</v>
      </c>
      <c r="H1756" t="s">
        <v>4338</v>
      </c>
      <c r="I1756" t="s">
        <v>32</v>
      </c>
      <c r="J1756" s="9"/>
      <c r="K1756" s="9"/>
      <c r="L1756" s="9"/>
    </row>
    <row r="1757" spans="2:12" ht="15" x14ac:dyDescent="0.25">
      <c r="B1757" t="s">
        <v>1519</v>
      </c>
      <c r="C1757" t="s">
        <v>1520</v>
      </c>
      <c r="D1757" t="str">
        <f>HYPERLINK("https://rhld.insurance.arkansas.gov/NPILookup?Npi=1790137867","1790137867")</f>
        <v>1790137867</v>
      </c>
      <c r="E1757" t="s">
        <v>1820</v>
      </c>
      <c r="F1757" t="s">
        <v>12</v>
      </c>
      <c r="G1757" s="20">
        <v>1</v>
      </c>
      <c r="H1757" t="s">
        <v>4338</v>
      </c>
      <c r="I1757" t="s">
        <v>32</v>
      </c>
      <c r="J1757" s="9"/>
      <c r="K1757" s="9"/>
      <c r="L1757" s="9"/>
    </row>
    <row r="1758" spans="2:12" ht="15" x14ac:dyDescent="0.25">
      <c r="B1758" t="s">
        <v>1519</v>
      </c>
      <c r="C1758" t="s">
        <v>1520</v>
      </c>
      <c r="D1758" t="str">
        <f>HYPERLINK("https://rhld.insurance.arkansas.gov/NPILookup?Npi=1790347565","1790347565")</f>
        <v>1790347565</v>
      </c>
      <c r="E1758" t="s">
        <v>1821</v>
      </c>
      <c r="F1758" t="s">
        <v>13</v>
      </c>
      <c r="G1758" s="20">
        <v>1</v>
      </c>
      <c r="H1758" t="s">
        <v>4357</v>
      </c>
      <c r="I1758" t="s">
        <v>4357</v>
      </c>
      <c r="J1758" s="9"/>
      <c r="K1758" s="9"/>
      <c r="L1758" s="9"/>
    </row>
    <row r="1759" spans="2:12" ht="15" x14ac:dyDescent="0.25">
      <c r="B1759" t="s">
        <v>1519</v>
      </c>
      <c r="C1759" t="s">
        <v>1520</v>
      </c>
      <c r="D1759" t="str">
        <f>HYPERLINK("https://rhld.insurance.arkansas.gov/NPILookup?Npi=1790380574","1790380574")</f>
        <v>1790380574</v>
      </c>
      <c r="E1759" t="s">
        <v>1822</v>
      </c>
      <c r="F1759" t="s">
        <v>12</v>
      </c>
      <c r="G1759" s="20">
        <v>1</v>
      </c>
      <c r="H1759" t="s">
        <v>4338</v>
      </c>
      <c r="I1759" t="s">
        <v>32</v>
      </c>
      <c r="J1759" s="9"/>
      <c r="K1759" s="9"/>
      <c r="L1759" s="9"/>
    </row>
    <row r="1760" spans="2:12" ht="15" x14ac:dyDescent="0.25">
      <c r="B1760" t="s">
        <v>1519</v>
      </c>
      <c r="C1760" t="s">
        <v>1520</v>
      </c>
      <c r="D1760" t="str">
        <f>HYPERLINK("https://rhld.insurance.arkansas.gov/NPILookup?Npi=1790396224","1790396224")</f>
        <v>1790396224</v>
      </c>
      <c r="E1760" t="s">
        <v>1823</v>
      </c>
      <c r="F1760" t="s">
        <v>13</v>
      </c>
      <c r="G1760" s="20">
        <v>1</v>
      </c>
      <c r="H1760" t="s">
        <v>1533</v>
      </c>
      <c r="I1760" t="s">
        <v>4357</v>
      </c>
      <c r="J1760" s="9"/>
      <c r="K1760" s="9"/>
      <c r="L1760" s="9"/>
    </row>
    <row r="1761" spans="2:12" ht="15" x14ac:dyDescent="0.25">
      <c r="B1761" t="s">
        <v>1519</v>
      </c>
      <c r="C1761" t="s">
        <v>1520</v>
      </c>
      <c r="D1761" t="str">
        <f>HYPERLINK("https://rhld.insurance.arkansas.gov/NPILookup?Npi=1801281837","1801281837")</f>
        <v>1801281837</v>
      </c>
      <c r="E1761" t="s">
        <v>1824</v>
      </c>
      <c r="F1761" t="s">
        <v>12</v>
      </c>
      <c r="G1761" s="20">
        <v>1</v>
      </c>
      <c r="H1761" t="s">
        <v>4338</v>
      </c>
      <c r="I1761" t="s">
        <v>32</v>
      </c>
      <c r="J1761" s="9"/>
      <c r="K1761" s="9"/>
      <c r="L1761" s="9"/>
    </row>
    <row r="1762" spans="2:12" ht="15" x14ac:dyDescent="0.25">
      <c r="B1762" t="s">
        <v>1519</v>
      </c>
      <c r="C1762" t="s">
        <v>1520</v>
      </c>
      <c r="D1762" t="str">
        <f>HYPERLINK("https://rhld.insurance.arkansas.gov/NPILookup?Npi=1801690342","1801690342")</f>
        <v>1801690342</v>
      </c>
      <c r="E1762" t="s">
        <v>1825</v>
      </c>
      <c r="F1762" t="s">
        <v>13</v>
      </c>
      <c r="G1762" s="20">
        <v>1</v>
      </c>
      <c r="H1762" t="s">
        <v>4357</v>
      </c>
      <c r="I1762" t="s">
        <v>4357</v>
      </c>
      <c r="J1762" s="9"/>
      <c r="K1762" s="9"/>
      <c r="L1762" s="9"/>
    </row>
    <row r="1763" spans="2:12" ht="15" x14ac:dyDescent="0.25">
      <c r="B1763" t="s">
        <v>1519</v>
      </c>
      <c r="C1763" t="s">
        <v>1520</v>
      </c>
      <c r="D1763" t="str">
        <f>HYPERLINK("https://rhld.insurance.arkansas.gov/NPILookup?Npi=1801854195","1801854195")</f>
        <v>1801854195</v>
      </c>
      <c r="E1763" t="s">
        <v>1826</v>
      </c>
      <c r="F1763" t="s">
        <v>12</v>
      </c>
      <c r="G1763" s="20">
        <v>1</v>
      </c>
      <c r="H1763" t="s">
        <v>4338</v>
      </c>
      <c r="I1763" t="s">
        <v>32</v>
      </c>
      <c r="J1763" s="9"/>
      <c r="K1763" s="9"/>
      <c r="L1763" s="9"/>
    </row>
    <row r="1764" spans="2:12" ht="15" x14ac:dyDescent="0.25">
      <c r="B1764" t="s">
        <v>1519</v>
      </c>
      <c r="C1764" t="s">
        <v>1520</v>
      </c>
      <c r="D1764" t="str">
        <f>HYPERLINK("https://rhld.insurance.arkansas.gov/NPILookup?Npi=1811003742","1811003742")</f>
        <v>1811003742</v>
      </c>
      <c r="E1764" t="s">
        <v>1827</v>
      </c>
      <c r="F1764" t="s">
        <v>12</v>
      </c>
      <c r="G1764" s="20">
        <v>1</v>
      </c>
      <c r="H1764" t="s">
        <v>141</v>
      </c>
      <c r="I1764" t="s">
        <v>32</v>
      </c>
      <c r="J1764" s="9"/>
      <c r="K1764" s="9"/>
      <c r="L1764" s="9"/>
    </row>
    <row r="1765" spans="2:12" ht="15" x14ac:dyDescent="0.25">
      <c r="B1765" t="s">
        <v>1519</v>
      </c>
      <c r="C1765" t="s">
        <v>1520</v>
      </c>
      <c r="D1765" t="str">
        <f>HYPERLINK("https://rhld.insurance.arkansas.gov/NPILookup?Npi=1811556715","1811556715")</f>
        <v>1811556715</v>
      </c>
      <c r="E1765" t="s">
        <v>1828</v>
      </c>
      <c r="F1765" t="s">
        <v>12</v>
      </c>
      <c r="G1765" s="20">
        <v>1</v>
      </c>
      <c r="H1765" t="s">
        <v>4338</v>
      </c>
      <c r="I1765" t="s">
        <v>32</v>
      </c>
      <c r="J1765" s="9"/>
      <c r="K1765" s="9"/>
      <c r="L1765" s="9"/>
    </row>
    <row r="1766" spans="2:12" ht="15" x14ac:dyDescent="0.25">
      <c r="B1766" t="s">
        <v>1519</v>
      </c>
      <c r="C1766" t="s">
        <v>1520</v>
      </c>
      <c r="D1766" t="str">
        <f>HYPERLINK("https://rhld.insurance.arkansas.gov/NPILookup?Npi=1811751720","1811751720")</f>
        <v>1811751720</v>
      </c>
      <c r="E1766" t="s">
        <v>1829</v>
      </c>
      <c r="F1766" t="s">
        <v>13</v>
      </c>
      <c r="G1766" s="20">
        <v>1</v>
      </c>
      <c r="H1766" t="s">
        <v>1533</v>
      </c>
      <c r="I1766" t="s">
        <v>4357</v>
      </c>
      <c r="J1766" s="9"/>
      <c r="K1766" s="9"/>
      <c r="L1766" s="9"/>
    </row>
    <row r="1767" spans="2:12" ht="15" x14ac:dyDescent="0.25">
      <c r="B1767" t="s">
        <v>1519</v>
      </c>
      <c r="C1767" t="s">
        <v>1520</v>
      </c>
      <c r="D1767" t="str">
        <f>HYPERLINK("https://rhld.insurance.arkansas.gov/NPILookup?Npi=1811904915","1811904915")</f>
        <v>1811904915</v>
      </c>
      <c r="E1767" t="s">
        <v>1830</v>
      </c>
      <c r="F1767" t="s">
        <v>12</v>
      </c>
      <c r="G1767" s="20">
        <v>1</v>
      </c>
      <c r="H1767" t="s">
        <v>4338</v>
      </c>
      <c r="I1767" t="s">
        <v>32</v>
      </c>
      <c r="J1767" s="9"/>
      <c r="K1767" s="9"/>
      <c r="L1767" s="9"/>
    </row>
    <row r="1768" spans="2:12" ht="15" x14ac:dyDescent="0.25">
      <c r="B1768" t="s">
        <v>1519</v>
      </c>
      <c r="C1768" t="s">
        <v>1520</v>
      </c>
      <c r="D1768" t="str">
        <f>HYPERLINK("https://rhld.insurance.arkansas.gov/NPILookup?Npi=1821752825","1821752825")</f>
        <v>1821752825</v>
      </c>
      <c r="E1768" t="s">
        <v>1831</v>
      </c>
      <c r="F1768" t="s">
        <v>13</v>
      </c>
      <c r="G1768" s="20">
        <v>1</v>
      </c>
      <c r="H1768" t="s">
        <v>1533</v>
      </c>
      <c r="I1768" t="s">
        <v>32</v>
      </c>
      <c r="J1768" s="9"/>
      <c r="K1768" s="9"/>
      <c r="L1768" s="9"/>
    </row>
    <row r="1769" spans="2:12" ht="15" x14ac:dyDescent="0.25">
      <c r="B1769" t="s">
        <v>1519</v>
      </c>
      <c r="C1769" t="s">
        <v>1520</v>
      </c>
      <c r="D1769" t="str">
        <f>HYPERLINK("https://rhld.insurance.arkansas.gov/NPILookup?Npi=1831628171","1831628171")</f>
        <v>1831628171</v>
      </c>
      <c r="E1769" t="s">
        <v>1832</v>
      </c>
      <c r="F1769" t="s">
        <v>13</v>
      </c>
      <c r="G1769" s="20">
        <v>1</v>
      </c>
      <c r="H1769" t="s">
        <v>4357</v>
      </c>
      <c r="I1769" t="s">
        <v>4357</v>
      </c>
      <c r="J1769" s="9"/>
      <c r="K1769" s="9"/>
      <c r="L1769" s="9"/>
    </row>
    <row r="1770" spans="2:12" ht="15" x14ac:dyDescent="0.25">
      <c r="B1770" t="s">
        <v>1519</v>
      </c>
      <c r="C1770" t="s">
        <v>1520</v>
      </c>
      <c r="D1770" t="str">
        <f>HYPERLINK("https://rhld.insurance.arkansas.gov/NPILookup?Npi=1841002888","1841002888")</f>
        <v>1841002888</v>
      </c>
      <c r="E1770" t="s">
        <v>1833</v>
      </c>
      <c r="F1770" t="s">
        <v>13</v>
      </c>
      <c r="G1770" s="20">
        <v>1</v>
      </c>
      <c r="H1770" t="s">
        <v>1533</v>
      </c>
      <c r="I1770" t="s">
        <v>4357</v>
      </c>
      <c r="J1770" s="9"/>
      <c r="K1770" s="9"/>
      <c r="L1770" s="9"/>
    </row>
    <row r="1771" spans="2:12" ht="15" x14ac:dyDescent="0.25">
      <c r="B1771" t="s">
        <v>1519</v>
      </c>
      <c r="C1771" t="s">
        <v>1520</v>
      </c>
      <c r="D1771" t="str">
        <f>HYPERLINK("https://rhld.insurance.arkansas.gov/NPILookup?Npi=1841364072","1841364072")</f>
        <v>1841364072</v>
      </c>
      <c r="E1771" t="s">
        <v>1834</v>
      </c>
      <c r="F1771" t="s">
        <v>12</v>
      </c>
      <c r="G1771" s="20">
        <v>1</v>
      </c>
      <c r="H1771" t="s">
        <v>4338</v>
      </c>
      <c r="I1771" t="s">
        <v>32</v>
      </c>
      <c r="J1771" s="9"/>
      <c r="K1771" s="9"/>
      <c r="L1771" s="9"/>
    </row>
    <row r="1772" spans="2:12" ht="15" x14ac:dyDescent="0.25">
      <c r="B1772" t="s">
        <v>1519</v>
      </c>
      <c r="C1772" t="s">
        <v>1520</v>
      </c>
      <c r="D1772" t="str">
        <f>HYPERLINK("https://rhld.insurance.arkansas.gov/NPILookup?Npi=1841904018","1841904018")</f>
        <v>1841904018</v>
      </c>
      <c r="E1772" t="s">
        <v>1837</v>
      </c>
      <c r="F1772" t="s">
        <v>13</v>
      </c>
      <c r="G1772" s="20">
        <v>1</v>
      </c>
      <c r="H1772" t="s">
        <v>4357</v>
      </c>
      <c r="I1772" t="s">
        <v>4357</v>
      </c>
      <c r="J1772" s="9"/>
      <c r="K1772" s="9"/>
      <c r="L1772" s="9"/>
    </row>
    <row r="1773" spans="2:12" ht="15" x14ac:dyDescent="0.25">
      <c r="B1773" t="s">
        <v>1519</v>
      </c>
      <c r="C1773" t="s">
        <v>1520</v>
      </c>
      <c r="D1773" t="str">
        <f>HYPERLINK("https://rhld.insurance.arkansas.gov/NPILookup?Npi=1841999679","1841999679")</f>
        <v>1841999679</v>
      </c>
      <c r="E1773" t="s">
        <v>1838</v>
      </c>
      <c r="F1773" t="s">
        <v>13</v>
      </c>
      <c r="G1773" s="20">
        <v>2</v>
      </c>
      <c r="H1773" t="s">
        <v>1548</v>
      </c>
      <c r="I1773" t="s">
        <v>4357</v>
      </c>
      <c r="J1773" s="9"/>
      <c r="K1773" s="9"/>
      <c r="L1773" s="9"/>
    </row>
    <row r="1774" spans="2:12" ht="15" x14ac:dyDescent="0.25">
      <c r="B1774" t="s">
        <v>1519</v>
      </c>
      <c r="C1774" t="s">
        <v>1520</v>
      </c>
      <c r="D1774" t="str">
        <f>HYPERLINK("https://rhld.insurance.arkansas.gov/NPILookup?Npi=1851682116","1851682116")</f>
        <v>1851682116</v>
      </c>
      <c r="E1774" t="s">
        <v>1839</v>
      </c>
      <c r="F1774" t="s">
        <v>12</v>
      </c>
      <c r="G1774" s="20">
        <v>1</v>
      </c>
      <c r="H1774" t="s">
        <v>4338</v>
      </c>
      <c r="I1774" t="s">
        <v>32</v>
      </c>
      <c r="J1774" s="9"/>
      <c r="K1774" s="9"/>
      <c r="L1774" s="9"/>
    </row>
    <row r="1775" spans="2:12" ht="15" x14ac:dyDescent="0.25">
      <c r="B1775" t="s">
        <v>1519</v>
      </c>
      <c r="C1775" t="s">
        <v>1520</v>
      </c>
      <c r="D1775" t="str">
        <f>HYPERLINK("https://rhld.insurance.arkansas.gov/NPILookup?Npi=1861643108","1861643108")</f>
        <v>1861643108</v>
      </c>
      <c r="E1775" t="s">
        <v>1841</v>
      </c>
      <c r="F1775" t="s">
        <v>13</v>
      </c>
      <c r="G1775" s="20">
        <v>1</v>
      </c>
      <c r="H1775" t="s">
        <v>1533</v>
      </c>
      <c r="I1775" t="s">
        <v>4357</v>
      </c>
      <c r="J1775" s="9"/>
      <c r="K1775" s="9"/>
      <c r="L1775" s="9"/>
    </row>
    <row r="1776" spans="2:12" ht="15" x14ac:dyDescent="0.25">
      <c r="B1776" t="s">
        <v>1519</v>
      </c>
      <c r="C1776" t="s">
        <v>1520</v>
      </c>
      <c r="D1776" t="str">
        <f>HYPERLINK("https://rhld.insurance.arkansas.gov/NPILookup?Npi=1871167627","1871167627")</f>
        <v>1871167627</v>
      </c>
      <c r="E1776" t="s">
        <v>1845</v>
      </c>
      <c r="F1776" t="s">
        <v>13</v>
      </c>
      <c r="G1776" s="20">
        <v>1</v>
      </c>
      <c r="H1776" t="s">
        <v>1533</v>
      </c>
      <c r="I1776" t="s">
        <v>4357</v>
      </c>
      <c r="J1776" s="9"/>
      <c r="K1776" s="9"/>
      <c r="L1776" s="9"/>
    </row>
    <row r="1777" spans="2:12" ht="15" x14ac:dyDescent="0.25">
      <c r="B1777" t="s">
        <v>1519</v>
      </c>
      <c r="C1777" t="s">
        <v>1520</v>
      </c>
      <c r="D1777" t="str">
        <f>HYPERLINK("https://rhld.insurance.arkansas.gov/NPILookup?Npi=1871207654","1871207654")</f>
        <v>1871207654</v>
      </c>
      <c r="E1777" t="s">
        <v>1846</v>
      </c>
      <c r="F1777" t="s">
        <v>12</v>
      </c>
      <c r="G1777" s="20">
        <v>1</v>
      </c>
      <c r="H1777" t="s">
        <v>4338</v>
      </c>
      <c r="I1777" t="s">
        <v>32</v>
      </c>
      <c r="J1777" s="9"/>
      <c r="K1777" s="9"/>
      <c r="L1777" s="9"/>
    </row>
    <row r="1778" spans="2:12" ht="15" x14ac:dyDescent="0.25">
      <c r="B1778" t="s">
        <v>1519</v>
      </c>
      <c r="C1778" t="s">
        <v>1520</v>
      </c>
      <c r="D1778" t="str">
        <f>HYPERLINK("https://rhld.insurance.arkansas.gov/NPILookup?Npi=1871218271","1871218271")</f>
        <v>1871218271</v>
      </c>
      <c r="E1778" t="s">
        <v>1847</v>
      </c>
      <c r="F1778" t="s">
        <v>12</v>
      </c>
      <c r="G1778" s="20">
        <v>1</v>
      </c>
      <c r="H1778" t="s">
        <v>4338</v>
      </c>
      <c r="I1778" t="s">
        <v>32</v>
      </c>
      <c r="J1778" s="9"/>
      <c r="K1778" s="9"/>
      <c r="L1778" s="9"/>
    </row>
    <row r="1779" spans="2:12" ht="15" x14ac:dyDescent="0.25">
      <c r="B1779" t="s">
        <v>1519</v>
      </c>
      <c r="C1779" t="s">
        <v>1520</v>
      </c>
      <c r="D1779" t="str">
        <f>HYPERLINK("https://rhld.insurance.arkansas.gov/NPILookup?Npi=1871228569","1871228569")</f>
        <v>1871228569</v>
      </c>
      <c r="E1779" t="s">
        <v>1848</v>
      </c>
      <c r="F1779" t="s">
        <v>13</v>
      </c>
      <c r="G1779" s="20">
        <v>2</v>
      </c>
      <c r="H1779" t="s">
        <v>1548</v>
      </c>
      <c r="I1779" t="s">
        <v>4357</v>
      </c>
      <c r="J1779" s="9"/>
      <c r="K1779" s="9"/>
      <c r="L1779" s="9"/>
    </row>
    <row r="1780" spans="2:12" ht="15" x14ac:dyDescent="0.25">
      <c r="B1780" t="s">
        <v>1519</v>
      </c>
      <c r="C1780" t="s">
        <v>1520</v>
      </c>
      <c r="D1780" t="str">
        <f>HYPERLINK("https://rhld.insurance.arkansas.gov/NPILookup?Npi=1871229690","1871229690")</f>
        <v>1871229690</v>
      </c>
      <c r="E1780" t="s">
        <v>1849</v>
      </c>
      <c r="F1780" t="s">
        <v>13</v>
      </c>
      <c r="G1780" s="20">
        <v>1</v>
      </c>
      <c r="H1780" t="s">
        <v>4357</v>
      </c>
      <c r="I1780" t="s">
        <v>4357</v>
      </c>
      <c r="J1780" s="9"/>
      <c r="K1780" s="9"/>
      <c r="L1780" s="9"/>
    </row>
    <row r="1781" spans="2:12" ht="15" x14ac:dyDescent="0.25">
      <c r="B1781" t="s">
        <v>1519</v>
      </c>
      <c r="C1781" t="s">
        <v>1520</v>
      </c>
      <c r="D1781" t="str">
        <f>HYPERLINK("https://rhld.insurance.arkansas.gov/NPILookup?Npi=1871304808","1871304808")</f>
        <v>1871304808</v>
      </c>
      <c r="E1781" t="s">
        <v>1850</v>
      </c>
      <c r="F1781" t="s">
        <v>13</v>
      </c>
      <c r="G1781" s="20">
        <v>1</v>
      </c>
      <c r="H1781" t="s">
        <v>4357</v>
      </c>
      <c r="I1781" t="s">
        <v>4357</v>
      </c>
      <c r="J1781" s="9"/>
      <c r="K1781" s="9"/>
      <c r="L1781" s="9"/>
    </row>
    <row r="1782" spans="2:12" ht="15" x14ac:dyDescent="0.25">
      <c r="B1782" t="s">
        <v>1519</v>
      </c>
      <c r="C1782" t="s">
        <v>1520</v>
      </c>
      <c r="D1782" t="str">
        <f>HYPERLINK("https://rhld.insurance.arkansas.gov/NPILookup?Npi=1871306993","1871306993")</f>
        <v>1871306993</v>
      </c>
      <c r="E1782" t="s">
        <v>1851</v>
      </c>
      <c r="F1782" t="s">
        <v>13</v>
      </c>
      <c r="G1782" s="20">
        <v>1</v>
      </c>
      <c r="H1782" t="s">
        <v>4357</v>
      </c>
      <c r="I1782" t="s">
        <v>4357</v>
      </c>
      <c r="J1782" s="9"/>
      <c r="K1782" s="9"/>
      <c r="L1782" s="9"/>
    </row>
    <row r="1783" spans="2:12" ht="15" x14ac:dyDescent="0.25">
      <c r="B1783" t="s">
        <v>1519</v>
      </c>
      <c r="C1783" t="s">
        <v>1520</v>
      </c>
      <c r="D1783" t="str">
        <f>HYPERLINK("https://rhld.insurance.arkansas.gov/NPILookup?Npi=1871730770","1871730770")</f>
        <v>1871730770</v>
      </c>
      <c r="E1783" t="s">
        <v>1852</v>
      </c>
      <c r="F1783" t="s">
        <v>13</v>
      </c>
      <c r="G1783" s="20">
        <v>1</v>
      </c>
      <c r="H1783" t="s">
        <v>87</v>
      </c>
      <c r="I1783" t="s">
        <v>32</v>
      </c>
      <c r="J1783" s="9"/>
      <c r="K1783" s="9"/>
      <c r="L1783" s="9"/>
    </row>
    <row r="1784" spans="2:12" ht="15" x14ac:dyDescent="0.25">
      <c r="B1784" t="s">
        <v>1519</v>
      </c>
      <c r="C1784" t="s">
        <v>1520</v>
      </c>
      <c r="D1784" t="str">
        <f>HYPERLINK("https://rhld.insurance.arkansas.gov/NPILookup?Npi=1871803403","1871803403")</f>
        <v>1871803403</v>
      </c>
      <c r="E1784" t="s">
        <v>1853</v>
      </c>
      <c r="F1784" t="s">
        <v>12</v>
      </c>
      <c r="G1784" s="20">
        <v>1</v>
      </c>
      <c r="H1784" t="s">
        <v>4338</v>
      </c>
      <c r="I1784" t="s">
        <v>32</v>
      </c>
      <c r="J1784" s="9"/>
      <c r="K1784" s="9"/>
      <c r="L1784" s="9"/>
    </row>
    <row r="1785" spans="2:12" ht="15" x14ac:dyDescent="0.25">
      <c r="B1785" t="s">
        <v>1519</v>
      </c>
      <c r="C1785" t="s">
        <v>1520</v>
      </c>
      <c r="D1785" t="str">
        <f>HYPERLINK("https://rhld.insurance.arkansas.gov/NPILookup?Npi=1881304541","1881304541")</f>
        <v>1881304541</v>
      </c>
      <c r="E1785" t="s">
        <v>1854</v>
      </c>
      <c r="F1785" t="s">
        <v>13</v>
      </c>
      <c r="G1785" s="20">
        <v>2</v>
      </c>
      <c r="H1785" t="s">
        <v>1548</v>
      </c>
      <c r="I1785" t="s">
        <v>4357</v>
      </c>
      <c r="J1785" s="9"/>
      <c r="K1785" s="9"/>
      <c r="L1785" s="9"/>
    </row>
    <row r="1786" spans="2:12" ht="15" x14ac:dyDescent="0.25">
      <c r="B1786" t="s">
        <v>1519</v>
      </c>
      <c r="C1786" t="s">
        <v>1520</v>
      </c>
      <c r="D1786" t="str">
        <f>HYPERLINK("https://rhld.insurance.arkansas.gov/NPILookup?Npi=1881360212","1881360212")</f>
        <v>1881360212</v>
      </c>
      <c r="E1786" t="s">
        <v>1855</v>
      </c>
      <c r="F1786" t="s">
        <v>13</v>
      </c>
      <c r="G1786" s="20">
        <v>1</v>
      </c>
      <c r="H1786" t="s">
        <v>1533</v>
      </c>
      <c r="I1786" t="s">
        <v>4357</v>
      </c>
      <c r="J1786" s="9"/>
      <c r="K1786" s="9"/>
      <c r="L1786" s="9"/>
    </row>
    <row r="1787" spans="2:12" ht="15" x14ac:dyDescent="0.25">
      <c r="B1787" t="s">
        <v>1519</v>
      </c>
      <c r="C1787" t="s">
        <v>1520</v>
      </c>
      <c r="D1787" t="str">
        <f>HYPERLINK("https://rhld.insurance.arkansas.gov/NPILookup?Npi=1881492031","1881492031")</f>
        <v>1881492031</v>
      </c>
      <c r="E1787" t="s">
        <v>1856</v>
      </c>
      <c r="F1787" t="s">
        <v>13</v>
      </c>
      <c r="G1787" s="20">
        <v>1</v>
      </c>
      <c r="H1787" t="s">
        <v>4357</v>
      </c>
      <c r="I1787" t="s">
        <v>4357</v>
      </c>
      <c r="J1787" s="9"/>
      <c r="K1787" s="9"/>
      <c r="L1787" s="9"/>
    </row>
    <row r="1788" spans="2:12" ht="15" x14ac:dyDescent="0.25">
      <c r="B1788" t="s">
        <v>1519</v>
      </c>
      <c r="C1788" t="s">
        <v>1520</v>
      </c>
      <c r="D1788" t="str">
        <f>HYPERLINK("https://rhld.insurance.arkansas.gov/NPILookup?Npi=1881803203","1881803203")</f>
        <v>1881803203</v>
      </c>
      <c r="E1788" t="s">
        <v>1857</v>
      </c>
      <c r="F1788" t="s">
        <v>12</v>
      </c>
      <c r="G1788" s="20">
        <v>1</v>
      </c>
      <c r="H1788" t="s">
        <v>4338</v>
      </c>
      <c r="I1788" t="s">
        <v>32</v>
      </c>
      <c r="J1788" s="9"/>
      <c r="K1788" s="9"/>
      <c r="L1788" s="9"/>
    </row>
    <row r="1789" spans="2:12" ht="15" x14ac:dyDescent="0.25">
      <c r="B1789" t="s">
        <v>1519</v>
      </c>
      <c r="C1789" t="s">
        <v>1520</v>
      </c>
      <c r="D1789" t="str">
        <f>HYPERLINK("https://rhld.insurance.arkansas.gov/NPILookup?Npi=1891367975","1891367975")</f>
        <v>1891367975</v>
      </c>
      <c r="E1789" t="s">
        <v>1858</v>
      </c>
      <c r="F1789" t="s">
        <v>13</v>
      </c>
      <c r="G1789" s="20">
        <v>1</v>
      </c>
      <c r="H1789" t="s">
        <v>4357</v>
      </c>
      <c r="I1789" t="s">
        <v>4357</v>
      </c>
      <c r="J1789" s="9"/>
      <c r="K1789" s="9"/>
      <c r="L1789" s="9"/>
    </row>
    <row r="1790" spans="2:12" ht="15" x14ac:dyDescent="0.25">
      <c r="B1790" t="s">
        <v>1519</v>
      </c>
      <c r="C1790" t="s">
        <v>1520</v>
      </c>
      <c r="D1790" t="str">
        <f>HYPERLINK("https://rhld.insurance.arkansas.gov/NPILookup?Npi=1891501391","1891501391")</f>
        <v>1891501391</v>
      </c>
      <c r="E1790" t="s">
        <v>1859</v>
      </c>
      <c r="F1790" t="s">
        <v>13</v>
      </c>
      <c r="G1790" s="20">
        <v>1</v>
      </c>
      <c r="H1790" t="s">
        <v>4357</v>
      </c>
      <c r="I1790" t="s">
        <v>4357</v>
      </c>
      <c r="J1790" s="9"/>
      <c r="K1790" s="9"/>
      <c r="L1790" s="9"/>
    </row>
    <row r="1791" spans="2:12" ht="15" x14ac:dyDescent="0.25">
      <c r="B1791" t="s">
        <v>1519</v>
      </c>
      <c r="C1791" t="s">
        <v>1520</v>
      </c>
      <c r="D1791" t="str">
        <f>HYPERLINK("https://rhld.insurance.arkansas.gov/NPILookup?Npi=1891527339","1891527339")</f>
        <v>1891527339</v>
      </c>
      <c r="E1791" t="s">
        <v>1860</v>
      </c>
      <c r="F1791" t="s">
        <v>13</v>
      </c>
      <c r="G1791" s="20">
        <v>1</v>
      </c>
      <c r="H1791" t="s">
        <v>4357</v>
      </c>
      <c r="I1791" t="s">
        <v>4357</v>
      </c>
      <c r="J1791" s="9"/>
      <c r="K1791" s="9"/>
      <c r="L1791" s="9"/>
    </row>
    <row r="1792" spans="2:12" ht="15" x14ac:dyDescent="0.25">
      <c r="B1792" t="s">
        <v>1519</v>
      </c>
      <c r="C1792" t="s">
        <v>1520</v>
      </c>
      <c r="D1792" t="str">
        <f>HYPERLINK("https://rhld.insurance.arkansas.gov/NPILookup?Npi=1891798989","1891798989")</f>
        <v>1891798989</v>
      </c>
      <c r="E1792" t="s">
        <v>1861</v>
      </c>
      <c r="F1792" t="s">
        <v>12</v>
      </c>
      <c r="G1792" s="20">
        <v>1</v>
      </c>
      <c r="H1792" t="s">
        <v>4338</v>
      </c>
      <c r="I1792" t="s">
        <v>4357</v>
      </c>
      <c r="J1792" s="9"/>
      <c r="K1792" s="9"/>
      <c r="L1792" s="9"/>
    </row>
    <row r="1793" spans="2:12" ht="15" x14ac:dyDescent="0.25">
      <c r="B1793" t="s">
        <v>1519</v>
      </c>
      <c r="C1793" t="s">
        <v>1520</v>
      </c>
      <c r="D1793" t="str">
        <f>HYPERLINK("https://rhld.insurance.arkansas.gov/NPILookup?Npi=1902033210","1902033210")</f>
        <v>1902033210</v>
      </c>
      <c r="E1793" t="s">
        <v>1862</v>
      </c>
      <c r="F1793" t="s">
        <v>13</v>
      </c>
      <c r="G1793" s="20">
        <v>1</v>
      </c>
      <c r="H1793" t="s">
        <v>4357</v>
      </c>
      <c r="I1793" t="s">
        <v>4357</v>
      </c>
      <c r="J1793" s="9"/>
      <c r="K1793" s="9"/>
      <c r="L1793" s="9"/>
    </row>
    <row r="1794" spans="2:12" ht="15" x14ac:dyDescent="0.25">
      <c r="B1794" t="s">
        <v>1519</v>
      </c>
      <c r="C1794" t="s">
        <v>1520</v>
      </c>
      <c r="D1794" t="str">
        <f>HYPERLINK("https://rhld.insurance.arkansas.gov/NPILookup?Npi=1902644727","1902644727")</f>
        <v>1902644727</v>
      </c>
      <c r="E1794" t="s">
        <v>1863</v>
      </c>
      <c r="F1794" t="s">
        <v>13</v>
      </c>
      <c r="G1794" s="20">
        <v>1</v>
      </c>
      <c r="H1794" t="s">
        <v>1533</v>
      </c>
      <c r="I1794" t="s">
        <v>4357</v>
      </c>
      <c r="J1794" s="9"/>
      <c r="K1794" s="9"/>
      <c r="L1794" s="9"/>
    </row>
    <row r="1795" spans="2:12" ht="15" x14ac:dyDescent="0.25">
      <c r="B1795" t="s">
        <v>1519</v>
      </c>
      <c r="C1795" t="s">
        <v>1520</v>
      </c>
      <c r="D1795" t="str">
        <f>HYPERLINK("https://rhld.insurance.arkansas.gov/NPILookup?Npi=1912296039","1912296039")</f>
        <v>1912296039</v>
      </c>
      <c r="E1795" t="s">
        <v>1864</v>
      </c>
      <c r="F1795" t="s">
        <v>13</v>
      </c>
      <c r="G1795" s="20">
        <v>1</v>
      </c>
      <c r="H1795" t="s">
        <v>1533</v>
      </c>
      <c r="I1795" t="s">
        <v>4357</v>
      </c>
      <c r="J1795" s="9"/>
      <c r="K1795" s="9"/>
      <c r="L1795" s="9"/>
    </row>
    <row r="1796" spans="2:12" ht="15" x14ac:dyDescent="0.25">
      <c r="B1796" t="s">
        <v>1519</v>
      </c>
      <c r="C1796" t="s">
        <v>1520</v>
      </c>
      <c r="D1796" t="str">
        <f>HYPERLINK("https://rhld.insurance.arkansas.gov/NPILookup?Npi=1912352055","1912352055")</f>
        <v>1912352055</v>
      </c>
      <c r="E1796" t="s">
        <v>1865</v>
      </c>
      <c r="F1796" t="s">
        <v>12</v>
      </c>
      <c r="G1796" s="20">
        <v>1</v>
      </c>
      <c r="H1796" t="s">
        <v>4338</v>
      </c>
      <c r="I1796" t="s">
        <v>32</v>
      </c>
      <c r="J1796" s="9"/>
      <c r="K1796" s="9"/>
      <c r="L1796" s="9"/>
    </row>
    <row r="1797" spans="2:12" ht="15" x14ac:dyDescent="0.25">
      <c r="B1797" t="s">
        <v>1519</v>
      </c>
      <c r="C1797" t="s">
        <v>1520</v>
      </c>
      <c r="D1797" t="str">
        <f>HYPERLINK("https://rhld.insurance.arkansas.gov/NPILookup?Npi=1922461516","1922461516")</f>
        <v>1922461516</v>
      </c>
      <c r="E1797" t="s">
        <v>1866</v>
      </c>
      <c r="F1797" t="s">
        <v>13</v>
      </c>
      <c r="G1797" s="20">
        <v>1</v>
      </c>
      <c r="H1797" t="s">
        <v>4357</v>
      </c>
      <c r="I1797" t="s">
        <v>4357</v>
      </c>
      <c r="J1797" s="9"/>
      <c r="K1797" s="9"/>
      <c r="L1797" s="9"/>
    </row>
    <row r="1798" spans="2:12" ht="15" x14ac:dyDescent="0.25">
      <c r="B1798" t="s">
        <v>1519</v>
      </c>
      <c r="C1798" t="s">
        <v>1520</v>
      </c>
      <c r="D1798" t="str">
        <f>HYPERLINK("https://rhld.insurance.arkansas.gov/NPILookup?Npi=1922852797","1922852797")</f>
        <v>1922852797</v>
      </c>
      <c r="E1798" t="s">
        <v>1867</v>
      </c>
      <c r="F1798" t="s">
        <v>13</v>
      </c>
      <c r="G1798" s="20">
        <v>1</v>
      </c>
      <c r="H1798" t="s">
        <v>4357</v>
      </c>
      <c r="I1798" t="s">
        <v>4357</v>
      </c>
      <c r="J1798" s="9"/>
      <c r="K1798" s="9"/>
      <c r="L1798" s="9"/>
    </row>
    <row r="1799" spans="2:12" ht="15" x14ac:dyDescent="0.25">
      <c r="B1799" t="s">
        <v>1519</v>
      </c>
      <c r="C1799" t="s">
        <v>1520</v>
      </c>
      <c r="D1799" t="str">
        <f>HYPERLINK("https://rhld.insurance.arkansas.gov/NPILookup?Npi=1932263613","1932263613")</f>
        <v>1932263613</v>
      </c>
      <c r="E1799" t="s">
        <v>1868</v>
      </c>
      <c r="F1799" t="s">
        <v>12</v>
      </c>
      <c r="G1799" s="20">
        <v>1</v>
      </c>
      <c r="H1799" t="s">
        <v>4338</v>
      </c>
      <c r="I1799" t="s">
        <v>32</v>
      </c>
      <c r="J1799" s="9"/>
      <c r="K1799" s="9"/>
      <c r="L1799" s="9"/>
    </row>
    <row r="1800" spans="2:12" ht="15" x14ac:dyDescent="0.25">
      <c r="B1800" t="s">
        <v>1519</v>
      </c>
      <c r="C1800" t="s">
        <v>1520</v>
      </c>
      <c r="D1800" t="str">
        <f>HYPERLINK("https://rhld.insurance.arkansas.gov/NPILookup?Npi=1932702354","1932702354")</f>
        <v>1932702354</v>
      </c>
      <c r="E1800" t="s">
        <v>1869</v>
      </c>
      <c r="F1800" t="s">
        <v>12</v>
      </c>
      <c r="G1800" s="20">
        <v>1</v>
      </c>
      <c r="H1800" t="s">
        <v>4338</v>
      </c>
      <c r="I1800" t="s">
        <v>32</v>
      </c>
      <c r="J1800" s="9"/>
      <c r="K1800" s="9"/>
      <c r="L1800" s="9"/>
    </row>
    <row r="1801" spans="2:12" ht="15" x14ac:dyDescent="0.25">
      <c r="B1801" t="s">
        <v>1519</v>
      </c>
      <c r="C1801" t="s">
        <v>1520</v>
      </c>
      <c r="D1801" t="str">
        <f>HYPERLINK("https://rhld.insurance.arkansas.gov/NPILookup?Npi=1942333687","1942333687")</f>
        <v>1942333687</v>
      </c>
      <c r="E1801" t="s">
        <v>1870</v>
      </c>
      <c r="F1801" t="s">
        <v>13</v>
      </c>
      <c r="G1801" s="20">
        <v>1</v>
      </c>
      <c r="H1801" t="s">
        <v>4357</v>
      </c>
      <c r="I1801" t="s">
        <v>4357</v>
      </c>
      <c r="J1801" s="9"/>
      <c r="K1801" s="9"/>
      <c r="L1801" s="9"/>
    </row>
    <row r="1802" spans="2:12" ht="15" x14ac:dyDescent="0.25">
      <c r="B1802" t="s">
        <v>1519</v>
      </c>
      <c r="C1802" t="s">
        <v>1520</v>
      </c>
      <c r="D1802" t="str">
        <f>HYPERLINK("https://rhld.insurance.arkansas.gov/NPILookup?Npi=1942496005","1942496005")</f>
        <v>1942496005</v>
      </c>
      <c r="E1802" t="s">
        <v>1871</v>
      </c>
      <c r="F1802" t="s">
        <v>12</v>
      </c>
      <c r="G1802" s="20">
        <v>1</v>
      </c>
      <c r="H1802" t="s">
        <v>4338</v>
      </c>
      <c r="I1802" t="s">
        <v>32</v>
      </c>
      <c r="J1802" s="9"/>
      <c r="K1802" s="9"/>
      <c r="L1802" s="9"/>
    </row>
    <row r="1803" spans="2:12" ht="15" x14ac:dyDescent="0.25">
      <c r="B1803" t="s">
        <v>1519</v>
      </c>
      <c r="C1803" t="s">
        <v>1520</v>
      </c>
      <c r="D1803" t="str">
        <f>HYPERLINK("https://rhld.insurance.arkansas.gov/NPILookup?Npi=1942516539","1942516539")</f>
        <v>1942516539</v>
      </c>
      <c r="E1803" t="s">
        <v>1872</v>
      </c>
      <c r="F1803" t="s">
        <v>13</v>
      </c>
      <c r="G1803" s="20">
        <v>1</v>
      </c>
      <c r="H1803" t="s">
        <v>4357</v>
      </c>
      <c r="I1803" t="s">
        <v>4357</v>
      </c>
      <c r="J1803" s="9"/>
      <c r="K1803" s="9"/>
      <c r="L1803" s="9"/>
    </row>
    <row r="1804" spans="2:12" ht="15" x14ac:dyDescent="0.25">
      <c r="B1804" t="s">
        <v>1519</v>
      </c>
      <c r="C1804" t="s">
        <v>1520</v>
      </c>
      <c r="D1804" t="str">
        <f>HYPERLINK("https://rhld.insurance.arkansas.gov/NPILookup?Npi=1942877824","1942877824")</f>
        <v>1942877824</v>
      </c>
      <c r="E1804" t="s">
        <v>1873</v>
      </c>
      <c r="F1804" t="s">
        <v>13</v>
      </c>
      <c r="G1804" s="20">
        <v>1</v>
      </c>
      <c r="H1804" t="s">
        <v>4357</v>
      </c>
      <c r="I1804" t="s">
        <v>4357</v>
      </c>
      <c r="J1804" s="9"/>
      <c r="K1804" s="9"/>
      <c r="L1804" s="9"/>
    </row>
    <row r="1805" spans="2:12" ht="15" x14ac:dyDescent="0.25">
      <c r="B1805" t="s">
        <v>1519</v>
      </c>
      <c r="C1805" t="s">
        <v>1520</v>
      </c>
      <c r="D1805" t="str">
        <f>HYPERLINK("https://rhld.insurance.arkansas.gov/NPILookup?Npi=1942927355","1942927355")</f>
        <v>1942927355</v>
      </c>
      <c r="E1805" t="s">
        <v>1874</v>
      </c>
      <c r="F1805" t="s">
        <v>13</v>
      </c>
      <c r="G1805" s="20">
        <v>1</v>
      </c>
      <c r="H1805" t="s">
        <v>1533</v>
      </c>
      <c r="I1805" t="s">
        <v>4357</v>
      </c>
      <c r="J1805" s="9"/>
      <c r="K1805" s="9"/>
      <c r="L1805" s="9"/>
    </row>
    <row r="1806" spans="2:12" ht="15" x14ac:dyDescent="0.25">
      <c r="B1806" t="s">
        <v>1519</v>
      </c>
      <c r="C1806" t="s">
        <v>1520</v>
      </c>
      <c r="D1806" t="str">
        <f>HYPERLINK("https://rhld.insurance.arkansas.gov/NPILookup?Npi=1942934898","1942934898")</f>
        <v>1942934898</v>
      </c>
      <c r="E1806" t="s">
        <v>1875</v>
      </c>
      <c r="F1806" t="s">
        <v>13</v>
      </c>
      <c r="G1806" s="20">
        <v>1</v>
      </c>
      <c r="H1806" t="s">
        <v>1533</v>
      </c>
      <c r="I1806" t="s">
        <v>4357</v>
      </c>
      <c r="J1806" s="9"/>
      <c r="K1806" s="9"/>
      <c r="L1806" s="9"/>
    </row>
    <row r="1807" spans="2:12" ht="15" x14ac:dyDescent="0.25">
      <c r="B1807" t="s">
        <v>1519</v>
      </c>
      <c r="C1807" t="s">
        <v>1520</v>
      </c>
      <c r="D1807" t="str">
        <f>HYPERLINK("https://rhld.insurance.arkansas.gov/NPILookup?Npi=1942993258","1942993258")</f>
        <v>1942993258</v>
      </c>
      <c r="E1807" t="s">
        <v>1876</v>
      </c>
      <c r="F1807" t="s">
        <v>13</v>
      </c>
      <c r="G1807" s="20">
        <v>2</v>
      </c>
      <c r="H1807" t="s">
        <v>1548</v>
      </c>
      <c r="I1807" t="s">
        <v>4357</v>
      </c>
      <c r="J1807" s="9"/>
      <c r="K1807" s="9"/>
      <c r="L1807" s="9"/>
    </row>
    <row r="1808" spans="2:12" ht="15" x14ac:dyDescent="0.25">
      <c r="B1808" t="s">
        <v>1519</v>
      </c>
      <c r="C1808" t="s">
        <v>1520</v>
      </c>
      <c r="D1808" t="str">
        <f>HYPERLINK("https://rhld.insurance.arkansas.gov/NPILookup?Npi=1952023319","1952023319")</f>
        <v>1952023319</v>
      </c>
      <c r="E1808" t="s">
        <v>1877</v>
      </c>
      <c r="F1808" t="s">
        <v>13</v>
      </c>
      <c r="G1808" s="20">
        <v>1</v>
      </c>
      <c r="H1808" t="s">
        <v>1533</v>
      </c>
      <c r="I1808" t="s">
        <v>4357</v>
      </c>
      <c r="J1808" s="9"/>
      <c r="K1808" s="9"/>
      <c r="L1808" s="9"/>
    </row>
    <row r="1809" spans="2:12" ht="15" x14ac:dyDescent="0.25">
      <c r="B1809" t="s">
        <v>1519</v>
      </c>
      <c r="C1809" t="s">
        <v>1520</v>
      </c>
      <c r="D1809" t="str">
        <f>HYPERLINK("https://rhld.insurance.arkansas.gov/NPILookup?Npi=1952102634","1952102634")</f>
        <v>1952102634</v>
      </c>
      <c r="E1809" t="s">
        <v>1878</v>
      </c>
      <c r="F1809" t="s">
        <v>13</v>
      </c>
      <c r="G1809" s="20">
        <v>1</v>
      </c>
      <c r="H1809" t="s">
        <v>1533</v>
      </c>
      <c r="I1809" t="s">
        <v>4357</v>
      </c>
      <c r="J1809" s="9"/>
      <c r="K1809" s="9"/>
      <c r="L1809" s="9"/>
    </row>
    <row r="1810" spans="2:12" ht="15" x14ac:dyDescent="0.25">
      <c r="B1810" t="s">
        <v>1519</v>
      </c>
      <c r="C1810" t="s">
        <v>1520</v>
      </c>
      <c r="D1810" t="str">
        <f>HYPERLINK("https://rhld.insurance.arkansas.gov/NPILookup?Npi=1952127631","1952127631")</f>
        <v>1952127631</v>
      </c>
      <c r="E1810" t="s">
        <v>1879</v>
      </c>
      <c r="F1810" t="s">
        <v>13</v>
      </c>
      <c r="G1810" s="20">
        <v>1</v>
      </c>
      <c r="H1810" t="s">
        <v>1533</v>
      </c>
      <c r="I1810" t="s">
        <v>4357</v>
      </c>
      <c r="J1810" s="9"/>
      <c r="K1810" s="9"/>
      <c r="L1810" s="9"/>
    </row>
    <row r="1811" spans="2:12" ht="15" x14ac:dyDescent="0.25">
      <c r="B1811" t="s">
        <v>1519</v>
      </c>
      <c r="C1811" t="s">
        <v>1520</v>
      </c>
      <c r="D1811" t="str">
        <f>HYPERLINK("https://rhld.insurance.arkansas.gov/NPILookup?Npi=1952448870","1952448870")</f>
        <v>1952448870</v>
      </c>
      <c r="E1811" t="s">
        <v>1880</v>
      </c>
      <c r="F1811" t="s">
        <v>12</v>
      </c>
      <c r="G1811" s="20">
        <v>1</v>
      </c>
      <c r="H1811" t="s">
        <v>4338</v>
      </c>
      <c r="I1811" t="s">
        <v>32</v>
      </c>
      <c r="J1811" s="9"/>
      <c r="K1811" s="9"/>
      <c r="L1811" s="9"/>
    </row>
    <row r="1812" spans="2:12" ht="15" x14ac:dyDescent="0.25">
      <c r="B1812" t="s">
        <v>1519</v>
      </c>
      <c r="C1812" t="s">
        <v>1520</v>
      </c>
      <c r="D1812" t="str">
        <f>HYPERLINK("https://rhld.insurance.arkansas.gov/NPILookup?Npi=1952598211","1952598211")</f>
        <v>1952598211</v>
      </c>
      <c r="E1812" t="s">
        <v>1881</v>
      </c>
      <c r="F1812" t="s">
        <v>12</v>
      </c>
      <c r="G1812" s="20">
        <v>1</v>
      </c>
      <c r="H1812" t="s">
        <v>4338</v>
      </c>
      <c r="I1812" t="s">
        <v>32</v>
      </c>
      <c r="J1812" s="9"/>
      <c r="K1812" s="9"/>
      <c r="L1812" s="9"/>
    </row>
    <row r="1813" spans="2:12" ht="15" x14ac:dyDescent="0.25">
      <c r="B1813" t="s">
        <v>1519</v>
      </c>
      <c r="C1813" t="s">
        <v>1520</v>
      </c>
      <c r="D1813" t="str">
        <f>HYPERLINK("https://rhld.insurance.arkansas.gov/NPILookup?Npi=1952774275","1952774275")</f>
        <v>1952774275</v>
      </c>
      <c r="E1813" t="s">
        <v>1882</v>
      </c>
      <c r="F1813" t="s">
        <v>12</v>
      </c>
      <c r="G1813" s="20">
        <v>1</v>
      </c>
      <c r="H1813" t="s">
        <v>4338</v>
      </c>
      <c r="I1813" t="s">
        <v>32</v>
      </c>
      <c r="J1813" s="9"/>
      <c r="K1813" s="9"/>
      <c r="L1813" s="9"/>
    </row>
    <row r="1814" spans="2:12" ht="15" x14ac:dyDescent="0.25">
      <c r="B1814" t="s">
        <v>1519</v>
      </c>
      <c r="C1814" t="s">
        <v>1520</v>
      </c>
      <c r="D1814" t="str">
        <f>HYPERLINK("https://rhld.insurance.arkansas.gov/NPILookup?Npi=1962062331","1962062331")</f>
        <v>1962062331</v>
      </c>
      <c r="E1814" t="s">
        <v>1884</v>
      </c>
      <c r="F1814" t="s">
        <v>13</v>
      </c>
      <c r="G1814" s="20">
        <v>2</v>
      </c>
      <c r="H1814" t="s">
        <v>1548</v>
      </c>
      <c r="I1814" t="s">
        <v>4357</v>
      </c>
      <c r="J1814" s="9"/>
      <c r="K1814" s="9"/>
      <c r="L1814" s="9"/>
    </row>
    <row r="1815" spans="2:12" ht="15" x14ac:dyDescent="0.25">
      <c r="B1815" t="s">
        <v>1519</v>
      </c>
      <c r="C1815" t="s">
        <v>1520</v>
      </c>
      <c r="D1815" t="str">
        <f>HYPERLINK("https://rhld.insurance.arkansas.gov/NPILookup?Npi=1962157487","1962157487")</f>
        <v>1962157487</v>
      </c>
      <c r="E1815" t="s">
        <v>1885</v>
      </c>
      <c r="F1815" t="s">
        <v>13</v>
      </c>
      <c r="G1815" s="20">
        <v>1</v>
      </c>
      <c r="H1815" t="s">
        <v>1533</v>
      </c>
      <c r="I1815" t="s">
        <v>4357</v>
      </c>
      <c r="J1815" s="9"/>
      <c r="K1815" s="9"/>
      <c r="L1815" s="9"/>
    </row>
    <row r="1816" spans="2:12" ht="15" x14ac:dyDescent="0.25">
      <c r="B1816" t="s">
        <v>1519</v>
      </c>
      <c r="C1816" t="s">
        <v>1520</v>
      </c>
      <c r="D1816" t="str">
        <f>HYPERLINK("https://rhld.insurance.arkansas.gov/NPILookup?Npi=1962679225","1962679225")</f>
        <v>1962679225</v>
      </c>
      <c r="E1816" t="s">
        <v>1886</v>
      </c>
      <c r="F1816" t="s">
        <v>13</v>
      </c>
      <c r="G1816" s="20">
        <v>1</v>
      </c>
      <c r="H1816" t="s">
        <v>4357</v>
      </c>
      <c r="I1816" t="s">
        <v>4357</v>
      </c>
      <c r="J1816" s="9"/>
      <c r="K1816" s="9"/>
      <c r="L1816" s="9"/>
    </row>
    <row r="1817" spans="2:12" ht="15" x14ac:dyDescent="0.25">
      <c r="B1817" t="s">
        <v>1519</v>
      </c>
      <c r="C1817" t="s">
        <v>1520</v>
      </c>
      <c r="D1817" t="str">
        <f>HYPERLINK("https://rhld.insurance.arkansas.gov/NPILookup?Npi=1972867679","1972867679")</f>
        <v>1972867679</v>
      </c>
      <c r="E1817" t="s">
        <v>1887</v>
      </c>
      <c r="F1817" t="s">
        <v>13</v>
      </c>
      <c r="G1817" s="20">
        <v>1</v>
      </c>
      <c r="H1817" t="s">
        <v>4357</v>
      </c>
      <c r="I1817" t="s">
        <v>4357</v>
      </c>
      <c r="J1817" s="9"/>
      <c r="K1817" s="9"/>
      <c r="L1817" s="9"/>
    </row>
    <row r="1818" spans="2:12" ht="15" x14ac:dyDescent="0.25">
      <c r="B1818" t="s">
        <v>1519</v>
      </c>
      <c r="C1818" t="s">
        <v>1520</v>
      </c>
      <c r="D1818" t="str">
        <f>HYPERLINK("https://rhld.insurance.arkansas.gov/NPILookup?Npi=1972869592","1972869592")</f>
        <v>1972869592</v>
      </c>
      <c r="E1818" t="s">
        <v>1888</v>
      </c>
      <c r="F1818" t="s">
        <v>12</v>
      </c>
      <c r="G1818" s="20">
        <v>1</v>
      </c>
      <c r="H1818" t="s">
        <v>4338</v>
      </c>
      <c r="I1818" t="s">
        <v>32</v>
      </c>
      <c r="J1818" s="9"/>
      <c r="K1818" s="9"/>
      <c r="L1818" s="9"/>
    </row>
    <row r="1819" spans="2:12" ht="15" x14ac:dyDescent="0.25">
      <c r="B1819" t="s">
        <v>1519</v>
      </c>
      <c r="C1819" t="s">
        <v>1520</v>
      </c>
      <c r="D1819" t="str">
        <f>HYPERLINK("https://rhld.insurance.arkansas.gov/NPILookup?Npi=1982283206","1982283206")</f>
        <v>1982283206</v>
      </c>
      <c r="E1819" t="s">
        <v>1889</v>
      </c>
      <c r="F1819" t="s">
        <v>13</v>
      </c>
      <c r="G1819" s="20">
        <v>1</v>
      </c>
      <c r="H1819" t="s">
        <v>4357</v>
      </c>
      <c r="I1819" t="s">
        <v>4357</v>
      </c>
      <c r="J1819" s="9"/>
      <c r="K1819" s="9"/>
      <c r="L1819" s="9"/>
    </row>
    <row r="1820" spans="2:12" ht="15" x14ac:dyDescent="0.25">
      <c r="B1820" t="s">
        <v>1519</v>
      </c>
      <c r="C1820" t="s">
        <v>1520</v>
      </c>
      <c r="D1820" t="str">
        <f>HYPERLINK("https://rhld.insurance.arkansas.gov/NPILookup?Npi=1982341269","1982341269")</f>
        <v>1982341269</v>
      </c>
      <c r="E1820" t="s">
        <v>1890</v>
      </c>
      <c r="F1820" t="s">
        <v>13</v>
      </c>
      <c r="G1820" s="20">
        <v>1</v>
      </c>
      <c r="H1820" t="s">
        <v>1533</v>
      </c>
      <c r="I1820" t="s">
        <v>4357</v>
      </c>
      <c r="J1820" s="9"/>
      <c r="K1820" s="9"/>
      <c r="L1820" s="9"/>
    </row>
    <row r="1821" spans="2:12" ht="15" x14ac:dyDescent="0.25">
      <c r="B1821" t="s">
        <v>1519</v>
      </c>
      <c r="C1821" t="s">
        <v>1520</v>
      </c>
      <c r="D1821" t="str">
        <f>HYPERLINK("https://rhld.insurance.arkansas.gov/NPILookup?Npi=1982415865","1982415865")</f>
        <v>1982415865</v>
      </c>
      <c r="E1821" t="s">
        <v>1891</v>
      </c>
      <c r="F1821" t="s">
        <v>13</v>
      </c>
      <c r="G1821" s="20">
        <v>1</v>
      </c>
      <c r="H1821" t="s">
        <v>1533</v>
      </c>
      <c r="I1821" t="s">
        <v>4357</v>
      </c>
      <c r="J1821" s="9"/>
      <c r="K1821" s="9"/>
      <c r="L1821" s="9"/>
    </row>
    <row r="1822" spans="2:12" ht="15" x14ac:dyDescent="0.25">
      <c r="B1822" t="s">
        <v>1519</v>
      </c>
      <c r="C1822" t="s">
        <v>1520</v>
      </c>
      <c r="D1822" t="str">
        <f>HYPERLINK("https://rhld.insurance.arkansas.gov/NPILookup?Npi=1982418984","1982418984")</f>
        <v>1982418984</v>
      </c>
      <c r="E1822" t="s">
        <v>1892</v>
      </c>
      <c r="F1822" t="s">
        <v>13</v>
      </c>
      <c r="G1822" s="20">
        <v>1</v>
      </c>
      <c r="H1822" t="s">
        <v>1533</v>
      </c>
      <c r="I1822" t="s">
        <v>4357</v>
      </c>
      <c r="J1822" s="9"/>
      <c r="K1822" s="9"/>
      <c r="L1822" s="9"/>
    </row>
    <row r="1823" spans="2:12" ht="15" x14ac:dyDescent="0.25">
      <c r="B1823" t="s">
        <v>1519</v>
      </c>
      <c r="C1823" t="s">
        <v>1520</v>
      </c>
      <c r="D1823" t="str">
        <f>HYPERLINK("https://rhld.insurance.arkansas.gov/NPILookup?Npi=1992325666","1992325666")</f>
        <v>1992325666</v>
      </c>
      <c r="E1823" t="s">
        <v>1893</v>
      </c>
      <c r="F1823" t="s">
        <v>13</v>
      </c>
      <c r="G1823" s="20">
        <v>2</v>
      </c>
      <c r="H1823" t="s">
        <v>1548</v>
      </c>
      <c r="I1823" t="s">
        <v>4357</v>
      </c>
      <c r="J1823" s="9"/>
      <c r="K1823" s="9"/>
      <c r="L1823" s="9"/>
    </row>
    <row r="1824" spans="2:12" ht="15" x14ac:dyDescent="0.25">
      <c r="B1824" t="s">
        <v>1519</v>
      </c>
      <c r="C1824" t="s">
        <v>1520</v>
      </c>
      <c r="D1824" t="str">
        <f>HYPERLINK("https://rhld.insurance.arkansas.gov/NPILookup?Npi=1992349328","1992349328")</f>
        <v>1992349328</v>
      </c>
      <c r="E1824" t="s">
        <v>1894</v>
      </c>
      <c r="F1824" t="s">
        <v>13</v>
      </c>
      <c r="G1824" s="20">
        <v>1</v>
      </c>
      <c r="H1824" t="s">
        <v>1533</v>
      </c>
      <c r="I1824" t="s">
        <v>4357</v>
      </c>
      <c r="J1824" s="9"/>
      <c r="K1824" s="9"/>
      <c r="L1824" s="9"/>
    </row>
    <row r="1825" spans="2:12" ht="15" x14ac:dyDescent="0.25">
      <c r="B1825" t="s">
        <v>1519</v>
      </c>
      <c r="C1825" t="s">
        <v>1520</v>
      </c>
      <c r="D1825" t="str">
        <f>HYPERLINK("https://rhld.insurance.arkansas.gov/NPILookup?Npi=1992523864","1992523864")</f>
        <v>1992523864</v>
      </c>
      <c r="E1825" t="s">
        <v>1895</v>
      </c>
      <c r="F1825" t="s">
        <v>13</v>
      </c>
      <c r="G1825" s="20">
        <v>1</v>
      </c>
      <c r="H1825" t="s">
        <v>1533</v>
      </c>
      <c r="I1825" t="s">
        <v>4357</v>
      </c>
      <c r="J1825" s="9"/>
      <c r="K1825" s="23"/>
      <c r="L1825" s="9"/>
    </row>
    <row r="1826" spans="2:12" ht="15" x14ac:dyDescent="0.25">
      <c r="B1826" t="s">
        <v>1519</v>
      </c>
      <c r="C1826" t="s">
        <v>1520</v>
      </c>
      <c r="D1826" t="str">
        <f>HYPERLINK("https://rhld.insurance.arkansas.gov/NPILookup?Npi=1992721716","1992721716")</f>
        <v>1992721716</v>
      </c>
      <c r="E1826" t="s">
        <v>1896</v>
      </c>
      <c r="F1826" t="s">
        <v>12</v>
      </c>
      <c r="G1826" s="20">
        <v>1</v>
      </c>
      <c r="H1826" t="s">
        <v>141</v>
      </c>
      <c r="I1826" t="s">
        <v>32</v>
      </c>
      <c r="J1826" s="9"/>
      <c r="K1826" s="23"/>
      <c r="L1826" s="9"/>
    </row>
    <row r="1827" spans="2:12" ht="15" x14ac:dyDescent="0.25">
      <c r="B1827" t="s">
        <v>1519</v>
      </c>
      <c r="C1827" t="s">
        <v>1520</v>
      </c>
      <c r="D1827" t="str">
        <f>HYPERLINK("https://rhld.insurance.arkansas.gov/NPILookup?Npi=1992740393","1992740393")</f>
        <v>1992740393</v>
      </c>
      <c r="E1827" t="s">
        <v>1289</v>
      </c>
      <c r="F1827" t="s">
        <v>12</v>
      </c>
      <c r="G1827" s="20">
        <v>1</v>
      </c>
      <c r="H1827" t="s">
        <v>4338</v>
      </c>
      <c r="I1827" t="s">
        <v>32</v>
      </c>
      <c r="J1827" s="9"/>
      <c r="K1827" s="23"/>
      <c r="L1827" s="9"/>
    </row>
    <row r="1828" spans="2:12" ht="15" x14ac:dyDescent="0.25">
      <c r="B1828" t="s">
        <v>1898</v>
      </c>
      <c r="C1828" t="s">
        <v>1899</v>
      </c>
      <c r="D1828" t="str">
        <f>HYPERLINK("https://rhld.insurance.arkansas.gov/NPILookup?Npi=1053314203","1053314203")</f>
        <v>1053314203</v>
      </c>
      <c r="E1828" t="s">
        <v>1900</v>
      </c>
      <c r="F1828" t="s">
        <v>13</v>
      </c>
      <c r="G1828" s="20">
        <v>1</v>
      </c>
      <c r="H1828" t="s">
        <v>87</v>
      </c>
      <c r="I1828" t="s">
        <v>4357</v>
      </c>
      <c r="J1828" s="9"/>
      <c r="K1828" s="23"/>
      <c r="L1828" s="9"/>
    </row>
    <row r="1829" spans="2:12" ht="15" x14ac:dyDescent="0.25">
      <c r="B1829" t="s">
        <v>1898</v>
      </c>
      <c r="C1829" s="21" t="s">
        <v>1899</v>
      </c>
      <c r="D1829" s="21" t="str">
        <f>HYPERLINK("https://rhld.insurance.arkansas.gov/NPILookup?Npi=1154601805","1154601805")</f>
        <v>1154601805</v>
      </c>
      <c r="E1829" s="21" t="s">
        <v>1901</v>
      </c>
      <c r="F1829" s="21" t="s">
        <v>12</v>
      </c>
      <c r="G1829" s="22">
        <v>1</v>
      </c>
      <c r="H1829" s="21" t="s">
        <v>4338</v>
      </c>
      <c r="I1829" s="21" t="s">
        <v>32</v>
      </c>
      <c r="J1829" s="9"/>
      <c r="K1829" s="9"/>
      <c r="L1829" s="9"/>
    </row>
    <row r="1830" spans="2:12" ht="15" x14ac:dyDescent="0.25">
      <c r="B1830" t="s">
        <v>1898</v>
      </c>
      <c r="C1830" s="21" t="s">
        <v>1899</v>
      </c>
      <c r="D1830" s="21" t="str">
        <f>HYPERLINK("https://rhld.insurance.arkansas.gov/NPILookup?Npi=1164489290","1164489290")</f>
        <v>1164489290</v>
      </c>
      <c r="E1830" s="21" t="s">
        <v>1583</v>
      </c>
      <c r="F1830" s="21" t="s">
        <v>12</v>
      </c>
      <c r="G1830" s="22">
        <v>1</v>
      </c>
      <c r="H1830" s="21" t="s">
        <v>4338</v>
      </c>
      <c r="I1830" s="21" t="s">
        <v>32</v>
      </c>
      <c r="J1830" s="9"/>
      <c r="K1830" s="9"/>
      <c r="L1830" s="9"/>
    </row>
    <row r="1831" spans="2:12" ht="15" x14ac:dyDescent="0.25">
      <c r="B1831" t="s">
        <v>1898</v>
      </c>
      <c r="C1831" s="21" t="s">
        <v>1899</v>
      </c>
      <c r="D1831" s="21" t="str">
        <f>HYPERLINK("https://rhld.insurance.arkansas.gov/NPILookup?Npi=1376569210","1376569210")</f>
        <v>1376569210</v>
      </c>
      <c r="E1831" s="21" t="s">
        <v>1902</v>
      </c>
      <c r="F1831" s="21" t="s">
        <v>12</v>
      </c>
      <c r="G1831" s="22">
        <v>1</v>
      </c>
      <c r="H1831" s="21" t="s">
        <v>4338</v>
      </c>
      <c r="I1831" s="21" t="s">
        <v>4357</v>
      </c>
      <c r="J1831" s="9"/>
      <c r="K1831" s="23"/>
      <c r="L1831" s="9"/>
    </row>
    <row r="1832" spans="2:12" ht="15" x14ac:dyDescent="0.25">
      <c r="B1832" t="s">
        <v>1898</v>
      </c>
      <c r="C1832" s="21" t="s">
        <v>1899</v>
      </c>
      <c r="D1832" s="21" t="str">
        <f>HYPERLINK("https://rhld.insurance.arkansas.gov/NPILookup?Npi=1386765352","1386765352")</f>
        <v>1386765352</v>
      </c>
      <c r="E1832" s="21" t="s">
        <v>1903</v>
      </c>
      <c r="F1832" s="21" t="s">
        <v>12</v>
      </c>
      <c r="G1832" s="22">
        <v>1</v>
      </c>
      <c r="H1832" s="21" t="s">
        <v>139</v>
      </c>
      <c r="I1832" s="21" t="s">
        <v>32</v>
      </c>
      <c r="J1832" s="9"/>
      <c r="K1832" s="9"/>
      <c r="L1832" s="9"/>
    </row>
    <row r="1833" spans="2:12" ht="15" x14ac:dyDescent="0.25">
      <c r="B1833" t="s">
        <v>1898</v>
      </c>
      <c r="C1833" t="s">
        <v>1899</v>
      </c>
      <c r="D1833" t="str">
        <f>HYPERLINK("https://rhld.insurance.arkansas.gov/NPILookup?Npi=1477810885","1477810885")</f>
        <v>1477810885</v>
      </c>
      <c r="E1833" t="s">
        <v>1905</v>
      </c>
      <c r="F1833" t="s">
        <v>13</v>
      </c>
      <c r="G1833" s="20">
        <v>2</v>
      </c>
      <c r="H1833" t="s">
        <v>439</v>
      </c>
      <c r="I1833" t="s">
        <v>4357</v>
      </c>
      <c r="J1833" s="9"/>
      <c r="K1833" s="23"/>
      <c r="L1833" s="9"/>
    </row>
    <row r="1834" spans="2:12" ht="15" x14ac:dyDescent="0.25">
      <c r="B1834" t="s">
        <v>1898</v>
      </c>
      <c r="C1834" t="s">
        <v>1899</v>
      </c>
      <c r="D1834" t="str">
        <f>HYPERLINK("https://rhld.insurance.arkansas.gov/NPILookup?Npi=1487644647","1487644647")</f>
        <v>1487644647</v>
      </c>
      <c r="E1834" t="s">
        <v>1906</v>
      </c>
      <c r="F1834" t="s">
        <v>13</v>
      </c>
      <c r="G1834" s="20">
        <v>1</v>
      </c>
      <c r="H1834" t="s">
        <v>87</v>
      </c>
      <c r="I1834" t="s">
        <v>32</v>
      </c>
      <c r="J1834" s="9"/>
      <c r="K1834" s="9"/>
      <c r="L1834" s="9"/>
    </row>
    <row r="1835" spans="2:12" ht="15" x14ac:dyDescent="0.25">
      <c r="B1835" t="s">
        <v>1898</v>
      </c>
      <c r="C1835" s="21" t="s">
        <v>1899</v>
      </c>
      <c r="D1835" s="21" t="str">
        <f>HYPERLINK("https://rhld.insurance.arkansas.gov/NPILookup?Npi=1528261617","1528261617")</f>
        <v>1528261617</v>
      </c>
      <c r="E1835" s="21" t="s">
        <v>671</v>
      </c>
      <c r="F1835" s="21" t="s">
        <v>12</v>
      </c>
      <c r="G1835" s="22">
        <v>1</v>
      </c>
      <c r="H1835" s="21" t="s">
        <v>4338</v>
      </c>
      <c r="I1835" s="21" t="s">
        <v>32</v>
      </c>
      <c r="J1835" s="9"/>
      <c r="K1835" s="9"/>
      <c r="L1835" s="9"/>
    </row>
    <row r="1836" spans="2:12" ht="15" x14ac:dyDescent="0.25">
      <c r="B1836" t="s">
        <v>1898</v>
      </c>
      <c r="C1836" t="s">
        <v>1899</v>
      </c>
      <c r="D1836" t="str">
        <f>HYPERLINK("https://rhld.insurance.arkansas.gov/NPILookup?Npi=1528645660","1528645660")</f>
        <v>1528645660</v>
      </c>
      <c r="E1836" t="s">
        <v>1907</v>
      </c>
      <c r="F1836" t="s">
        <v>13</v>
      </c>
      <c r="G1836" s="20">
        <v>2</v>
      </c>
      <c r="H1836" t="s">
        <v>439</v>
      </c>
      <c r="I1836" t="s">
        <v>4357</v>
      </c>
      <c r="J1836" s="9"/>
      <c r="K1836" s="23"/>
      <c r="L1836" s="9"/>
    </row>
    <row r="1837" spans="2:12" ht="15" x14ac:dyDescent="0.25">
      <c r="B1837" t="s">
        <v>1898</v>
      </c>
      <c r="C1837" s="21" t="s">
        <v>1899</v>
      </c>
      <c r="D1837" s="21" t="str">
        <f>HYPERLINK("https://rhld.insurance.arkansas.gov/NPILookup?Npi=1588683775","1588683775")</f>
        <v>1588683775</v>
      </c>
      <c r="E1837" s="21" t="s">
        <v>1908</v>
      </c>
      <c r="F1837" s="21" t="s">
        <v>12</v>
      </c>
      <c r="G1837" s="22">
        <v>1</v>
      </c>
      <c r="H1837" s="21" t="s">
        <v>141</v>
      </c>
      <c r="I1837" s="21" t="s">
        <v>32</v>
      </c>
      <c r="J1837" s="9"/>
      <c r="K1837" s="23"/>
      <c r="L1837" s="9"/>
    </row>
    <row r="1838" spans="2:12" ht="15" x14ac:dyDescent="0.25">
      <c r="B1838" t="s">
        <v>1898</v>
      </c>
      <c r="C1838" t="s">
        <v>1899</v>
      </c>
      <c r="D1838" t="str">
        <f>HYPERLINK("https://rhld.insurance.arkansas.gov/NPILookup?Npi=1821495607","1821495607")</f>
        <v>1821495607</v>
      </c>
      <c r="E1838" t="s">
        <v>1909</v>
      </c>
      <c r="F1838" t="s">
        <v>13</v>
      </c>
      <c r="G1838" s="20">
        <v>1</v>
      </c>
      <c r="H1838" t="s">
        <v>87</v>
      </c>
      <c r="I1838" t="s">
        <v>4357</v>
      </c>
      <c r="J1838" s="9"/>
      <c r="K1838" s="9"/>
      <c r="L1838" s="9"/>
    </row>
    <row r="1839" spans="2:12" ht="15" x14ac:dyDescent="0.25">
      <c r="B1839" t="s">
        <v>1898</v>
      </c>
      <c r="C1839" t="s">
        <v>1899</v>
      </c>
      <c r="D1839" t="str">
        <f>HYPERLINK("https://rhld.insurance.arkansas.gov/NPILookup?Npi=1841678653","1841678653")</f>
        <v>1841678653</v>
      </c>
      <c r="E1839" t="s">
        <v>1910</v>
      </c>
      <c r="F1839" t="s">
        <v>13</v>
      </c>
      <c r="G1839" s="20">
        <v>1</v>
      </c>
      <c r="H1839" t="s">
        <v>4357</v>
      </c>
      <c r="I1839" t="s">
        <v>4357</v>
      </c>
      <c r="J1839" s="9"/>
      <c r="K1839" s="9"/>
      <c r="L1839" s="9"/>
    </row>
    <row r="1840" spans="2:12" ht="15" x14ac:dyDescent="0.25">
      <c r="B1840" t="s">
        <v>1898</v>
      </c>
      <c r="C1840" s="21" t="s">
        <v>1899</v>
      </c>
      <c r="D1840" s="21" t="str">
        <f>HYPERLINK("https://rhld.insurance.arkansas.gov/NPILookup?Npi=1972709418","1972709418")</f>
        <v>1972709418</v>
      </c>
      <c r="E1840" s="21" t="s">
        <v>1911</v>
      </c>
      <c r="F1840" s="21" t="s">
        <v>12</v>
      </c>
      <c r="G1840" s="22">
        <v>1</v>
      </c>
      <c r="H1840" s="21" t="s">
        <v>4338</v>
      </c>
      <c r="I1840" s="21" t="s">
        <v>32</v>
      </c>
      <c r="J1840" s="9"/>
      <c r="K1840" s="9"/>
      <c r="L1840" s="9"/>
    </row>
    <row r="1841" spans="2:12" ht="15" x14ac:dyDescent="0.25">
      <c r="B1841" t="s">
        <v>1898</v>
      </c>
      <c r="C1841" s="21" t="s">
        <v>1899</v>
      </c>
      <c r="D1841" s="21" t="str">
        <f>HYPERLINK("https://rhld.insurance.arkansas.gov/NPILookup?Npi=1992340814","1992340814")</f>
        <v>1992340814</v>
      </c>
      <c r="E1841" s="21" t="s">
        <v>1912</v>
      </c>
      <c r="F1841" s="21" t="s">
        <v>12</v>
      </c>
      <c r="G1841" s="22">
        <v>1</v>
      </c>
      <c r="H1841" s="21" t="s">
        <v>4338</v>
      </c>
      <c r="I1841" s="21" t="s">
        <v>32</v>
      </c>
      <c r="J1841" s="9"/>
      <c r="K1841" s="9"/>
      <c r="L1841" s="9"/>
    </row>
    <row r="1842" spans="2:12" ht="15" x14ac:dyDescent="0.25">
      <c r="B1842" t="s">
        <v>1913</v>
      </c>
      <c r="C1842" t="s">
        <v>1914</v>
      </c>
      <c r="D1842" t="str">
        <f>HYPERLINK("https://rhld.insurance.arkansas.gov/NPILookup?Npi=1003482951","1003482951")</f>
        <v>1003482951</v>
      </c>
      <c r="E1842" t="s">
        <v>1915</v>
      </c>
      <c r="F1842" t="s">
        <v>13</v>
      </c>
      <c r="G1842" s="20">
        <v>1</v>
      </c>
      <c r="H1842" t="s">
        <v>4357</v>
      </c>
      <c r="I1842" t="s">
        <v>4357</v>
      </c>
      <c r="J1842" s="9"/>
      <c r="K1842" s="9"/>
      <c r="L1842" s="9"/>
    </row>
    <row r="1843" spans="2:12" ht="15" x14ac:dyDescent="0.25">
      <c r="B1843" t="s">
        <v>1913</v>
      </c>
      <c r="C1843" t="s">
        <v>1914</v>
      </c>
      <c r="D1843" t="str">
        <f>HYPERLINK("https://rhld.insurance.arkansas.gov/NPILookup?Npi=1003706250","1003706250")</f>
        <v>1003706250</v>
      </c>
      <c r="E1843" t="s">
        <v>1916</v>
      </c>
      <c r="F1843" t="s">
        <v>13</v>
      </c>
      <c r="G1843" s="20">
        <v>1</v>
      </c>
      <c r="H1843" t="s">
        <v>4357</v>
      </c>
      <c r="I1843" t="s">
        <v>4357</v>
      </c>
      <c r="J1843" s="9"/>
      <c r="K1843" s="9"/>
      <c r="L1843" s="9"/>
    </row>
    <row r="1844" spans="2:12" ht="15" x14ac:dyDescent="0.25">
      <c r="B1844" t="s">
        <v>1913</v>
      </c>
      <c r="C1844" t="s">
        <v>1914</v>
      </c>
      <c r="D1844" t="str">
        <f>HYPERLINK("https://rhld.insurance.arkansas.gov/NPILookup?Npi=1013461185","1013461185")</f>
        <v>1013461185</v>
      </c>
      <c r="E1844" t="s">
        <v>1917</v>
      </c>
      <c r="F1844" t="s">
        <v>13</v>
      </c>
      <c r="G1844" s="20">
        <v>1</v>
      </c>
      <c r="H1844" t="s">
        <v>4357</v>
      </c>
      <c r="I1844" t="s">
        <v>4357</v>
      </c>
      <c r="J1844" s="9"/>
      <c r="K1844" s="9"/>
      <c r="L1844" s="9"/>
    </row>
    <row r="1845" spans="2:12" ht="15" x14ac:dyDescent="0.25">
      <c r="B1845" t="s">
        <v>1913</v>
      </c>
      <c r="C1845" t="s">
        <v>1914</v>
      </c>
      <c r="D1845" t="str">
        <f>HYPERLINK("https://rhld.insurance.arkansas.gov/NPILookup?Npi=1023820990","1023820990")</f>
        <v>1023820990</v>
      </c>
      <c r="E1845" t="s">
        <v>1918</v>
      </c>
      <c r="F1845" t="s">
        <v>13</v>
      </c>
      <c r="G1845" s="20">
        <v>1</v>
      </c>
      <c r="H1845" t="s">
        <v>4357</v>
      </c>
      <c r="I1845" t="s">
        <v>4357</v>
      </c>
      <c r="J1845" s="9"/>
      <c r="K1845" s="9"/>
      <c r="L1845" s="9"/>
    </row>
    <row r="1846" spans="2:12" ht="15" x14ac:dyDescent="0.25">
      <c r="B1846" t="s">
        <v>1913</v>
      </c>
      <c r="C1846" t="s">
        <v>1914</v>
      </c>
      <c r="D1846" t="str">
        <f>HYPERLINK("https://rhld.insurance.arkansas.gov/NPILookup?Npi=1033575493","1033575493")</f>
        <v>1033575493</v>
      </c>
      <c r="E1846" t="s">
        <v>1919</v>
      </c>
      <c r="F1846" t="s">
        <v>13</v>
      </c>
      <c r="G1846" s="20">
        <v>1</v>
      </c>
      <c r="H1846" t="s">
        <v>4357</v>
      </c>
      <c r="I1846" t="s">
        <v>4357</v>
      </c>
      <c r="J1846" s="9"/>
      <c r="K1846" s="9"/>
      <c r="L1846" s="9"/>
    </row>
    <row r="1847" spans="2:12" ht="15" x14ac:dyDescent="0.25">
      <c r="B1847" t="s">
        <v>1913</v>
      </c>
      <c r="C1847" t="s">
        <v>1914</v>
      </c>
      <c r="D1847" t="str">
        <f>HYPERLINK("https://rhld.insurance.arkansas.gov/NPILookup?Npi=1063016582","1063016582")</f>
        <v>1063016582</v>
      </c>
      <c r="E1847" t="s">
        <v>1920</v>
      </c>
      <c r="F1847" t="s">
        <v>13</v>
      </c>
      <c r="G1847" s="20">
        <v>1</v>
      </c>
      <c r="H1847" t="s">
        <v>4357</v>
      </c>
      <c r="I1847" t="s">
        <v>4357</v>
      </c>
      <c r="J1847" s="9"/>
      <c r="K1847" s="9"/>
      <c r="L1847" s="9"/>
    </row>
    <row r="1848" spans="2:12" ht="15" x14ac:dyDescent="0.25">
      <c r="B1848" t="s">
        <v>1913</v>
      </c>
      <c r="C1848" t="s">
        <v>1914</v>
      </c>
      <c r="D1848" t="str">
        <f>HYPERLINK("https://rhld.insurance.arkansas.gov/NPILookup?Npi=1083787717","1083787717")</f>
        <v>1083787717</v>
      </c>
      <c r="E1848" t="s">
        <v>1921</v>
      </c>
      <c r="F1848" t="s">
        <v>13</v>
      </c>
      <c r="G1848" s="20">
        <v>1</v>
      </c>
      <c r="H1848" t="s">
        <v>4357</v>
      </c>
      <c r="I1848" t="s">
        <v>4357</v>
      </c>
      <c r="J1848" s="9"/>
      <c r="K1848" s="9"/>
      <c r="L1848" s="9"/>
    </row>
    <row r="1849" spans="2:12" ht="15" x14ac:dyDescent="0.25">
      <c r="B1849" t="s">
        <v>1913</v>
      </c>
      <c r="C1849" t="s">
        <v>1914</v>
      </c>
      <c r="D1849" t="str">
        <f>HYPERLINK("https://rhld.insurance.arkansas.gov/NPILookup?Npi=1093379968","1093379968")</f>
        <v>1093379968</v>
      </c>
      <c r="E1849" t="s">
        <v>1922</v>
      </c>
      <c r="F1849" t="s">
        <v>13</v>
      </c>
      <c r="G1849" s="20">
        <v>1</v>
      </c>
      <c r="H1849" t="s">
        <v>4357</v>
      </c>
      <c r="I1849" t="s">
        <v>4357</v>
      </c>
      <c r="J1849" s="9"/>
      <c r="K1849" s="9"/>
      <c r="L1849" s="9"/>
    </row>
    <row r="1850" spans="2:12" ht="15" x14ac:dyDescent="0.25">
      <c r="B1850" t="s">
        <v>1913</v>
      </c>
      <c r="C1850" t="s">
        <v>1914</v>
      </c>
      <c r="D1850" t="str">
        <f>HYPERLINK("https://rhld.insurance.arkansas.gov/NPILookup?Npi=1104640879","1104640879")</f>
        <v>1104640879</v>
      </c>
      <c r="E1850" t="s">
        <v>1923</v>
      </c>
      <c r="F1850" t="s">
        <v>13</v>
      </c>
      <c r="G1850" s="20">
        <v>1</v>
      </c>
      <c r="H1850" t="s">
        <v>4357</v>
      </c>
      <c r="I1850" t="s">
        <v>4357</v>
      </c>
      <c r="J1850" s="9"/>
      <c r="K1850" s="9"/>
      <c r="L1850" s="9"/>
    </row>
    <row r="1851" spans="2:12" ht="15" x14ac:dyDescent="0.25">
      <c r="B1851" t="s">
        <v>1913</v>
      </c>
      <c r="C1851" t="s">
        <v>1914</v>
      </c>
      <c r="D1851" t="str">
        <f>HYPERLINK("https://rhld.insurance.arkansas.gov/NPILookup?Npi=1104649250","1104649250")</f>
        <v>1104649250</v>
      </c>
      <c r="E1851" t="s">
        <v>1924</v>
      </c>
      <c r="F1851" t="s">
        <v>13</v>
      </c>
      <c r="G1851" s="20">
        <v>1</v>
      </c>
      <c r="H1851" t="s">
        <v>4357</v>
      </c>
      <c r="I1851" t="s">
        <v>4357</v>
      </c>
      <c r="J1851" s="9"/>
      <c r="K1851" s="9"/>
      <c r="L1851" s="9"/>
    </row>
    <row r="1852" spans="2:12" ht="15" x14ac:dyDescent="0.25">
      <c r="B1852" t="s">
        <v>1913</v>
      </c>
      <c r="C1852" t="s">
        <v>1914</v>
      </c>
      <c r="D1852" t="str">
        <f>HYPERLINK("https://rhld.insurance.arkansas.gov/NPILookup?Npi=1124291281","1124291281")</f>
        <v>1124291281</v>
      </c>
      <c r="E1852" t="s">
        <v>1925</v>
      </c>
      <c r="F1852" t="s">
        <v>13</v>
      </c>
      <c r="G1852" s="20">
        <v>1</v>
      </c>
      <c r="H1852" t="s">
        <v>4357</v>
      </c>
      <c r="I1852" t="s">
        <v>4357</v>
      </c>
      <c r="J1852" s="9"/>
      <c r="K1852" s="9"/>
      <c r="L1852" s="9"/>
    </row>
    <row r="1853" spans="2:12" ht="15" x14ac:dyDescent="0.25">
      <c r="B1853" t="s">
        <v>1913</v>
      </c>
      <c r="C1853" t="s">
        <v>1914</v>
      </c>
      <c r="D1853" t="str">
        <f>HYPERLINK("https://rhld.insurance.arkansas.gov/NPILookup?Npi=1124857719","1124857719")</f>
        <v>1124857719</v>
      </c>
      <c r="E1853" t="s">
        <v>1926</v>
      </c>
      <c r="F1853" t="s">
        <v>13</v>
      </c>
      <c r="G1853" s="20">
        <v>1</v>
      </c>
      <c r="H1853" t="s">
        <v>4357</v>
      </c>
      <c r="I1853" t="s">
        <v>4357</v>
      </c>
      <c r="J1853" s="9"/>
      <c r="K1853" s="23"/>
      <c r="L1853" s="9"/>
    </row>
    <row r="1854" spans="2:12" ht="15" x14ac:dyDescent="0.25">
      <c r="B1854" t="s">
        <v>1913</v>
      </c>
      <c r="C1854" t="s">
        <v>1914</v>
      </c>
      <c r="D1854" t="str">
        <f>HYPERLINK("https://rhld.insurance.arkansas.gov/NPILookup?Npi=1154009694","1154009694")</f>
        <v>1154009694</v>
      </c>
      <c r="E1854" t="s">
        <v>1927</v>
      </c>
      <c r="F1854" t="s">
        <v>13</v>
      </c>
      <c r="G1854" s="20">
        <v>1</v>
      </c>
      <c r="H1854" t="s">
        <v>4357</v>
      </c>
      <c r="I1854" t="s">
        <v>4357</v>
      </c>
      <c r="J1854" s="9"/>
      <c r="K1854" s="9"/>
      <c r="L1854" s="9"/>
    </row>
    <row r="1855" spans="2:12" ht="15" x14ac:dyDescent="0.25">
      <c r="B1855" t="s">
        <v>1913</v>
      </c>
      <c r="C1855" t="s">
        <v>1914</v>
      </c>
      <c r="D1855" t="str">
        <f>HYPERLINK("https://rhld.insurance.arkansas.gov/NPILookup?Npi=1154509974","1154509974")</f>
        <v>1154509974</v>
      </c>
      <c r="E1855" t="s">
        <v>1928</v>
      </c>
      <c r="F1855" t="s">
        <v>13</v>
      </c>
      <c r="G1855" s="20">
        <v>1</v>
      </c>
      <c r="H1855" t="s">
        <v>4357</v>
      </c>
      <c r="I1855" t="s">
        <v>4357</v>
      </c>
      <c r="J1855" s="9"/>
      <c r="K1855" s="23"/>
      <c r="L1855" s="9"/>
    </row>
    <row r="1856" spans="2:12" ht="15" x14ac:dyDescent="0.25">
      <c r="B1856" t="s">
        <v>1913</v>
      </c>
      <c r="C1856" t="s">
        <v>1914</v>
      </c>
      <c r="D1856" t="str">
        <f>HYPERLINK("https://rhld.insurance.arkansas.gov/NPILookup?Npi=1164273371","1164273371")</f>
        <v>1164273371</v>
      </c>
      <c r="E1856" t="s">
        <v>1929</v>
      </c>
      <c r="F1856" t="s">
        <v>13</v>
      </c>
      <c r="G1856" s="20">
        <v>1</v>
      </c>
      <c r="H1856" t="s">
        <v>4357</v>
      </c>
      <c r="I1856" t="s">
        <v>4357</v>
      </c>
      <c r="J1856" s="9"/>
      <c r="K1856" s="9"/>
      <c r="L1856" s="9"/>
    </row>
    <row r="1857" spans="2:12" ht="15" x14ac:dyDescent="0.25">
      <c r="B1857" t="s">
        <v>1913</v>
      </c>
      <c r="C1857" s="21" t="s">
        <v>1914</v>
      </c>
      <c r="D1857" s="21" t="str">
        <f>HYPERLINK("https://rhld.insurance.arkansas.gov/NPILookup?Npi=1174668982","1174668982")</f>
        <v>1174668982</v>
      </c>
      <c r="E1857" s="21" t="s">
        <v>1930</v>
      </c>
      <c r="F1857" s="21" t="s">
        <v>12</v>
      </c>
      <c r="G1857" s="22">
        <v>1</v>
      </c>
      <c r="H1857" s="21" t="s">
        <v>4338</v>
      </c>
      <c r="I1857" s="21" t="s">
        <v>32</v>
      </c>
      <c r="J1857" s="9"/>
      <c r="K1857" s="9"/>
      <c r="L1857" s="9"/>
    </row>
    <row r="1858" spans="2:12" ht="15" x14ac:dyDescent="0.25">
      <c r="B1858" t="s">
        <v>1913</v>
      </c>
      <c r="C1858" t="s">
        <v>1914</v>
      </c>
      <c r="D1858" t="str">
        <f>HYPERLINK("https://rhld.insurance.arkansas.gov/NPILookup?Npi=1194543223","1194543223")</f>
        <v>1194543223</v>
      </c>
      <c r="E1858" t="s">
        <v>1931</v>
      </c>
      <c r="F1858" t="s">
        <v>13</v>
      </c>
      <c r="G1858" s="20">
        <v>1</v>
      </c>
      <c r="H1858" t="s">
        <v>4357</v>
      </c>
      <c r="I1858" t="s">
        <v>4357</v>
      </c>
      <c r="J1858" s="9"/>
      <c r="K1858" s="23"/>
      <c r="L1858" s="9"/>
    </row>
    <row r="1859" spans="2:12" ht="15" x14ac:dyDescent="0.25">
      <c r="B1859" t="s">
        <v>1913</v>
      </c>
      <c r="C1859" s="21" t="s">
        <v>1914</v>
      </c>
      <c r="D1859" s="21" t="str">
        <f>HYPERLINK("https://rhld.insurance.arkansas.gov/NPILookup?Npi=1194984336","1194984336")</f>
        <v>1194984336</v>
      </c>
      <c r="E1859" s="21" t="s">
        <v>1932</v>
      </c>
      <c r="F1859" s="21" t="s">
        <v>12</v>
      </c>
      <c r="G1859" s="22">
        <v>1</v>
      </c>
      <c r="H1859" s="21" t="s">
        <v>139</v>
      </c>
      <c r="I1859" s="21" t="s">
        <v>32</v>
      </c>
      <c r="J1859" s="9"/>
      <c r="K1859" s="9"/>
      <c r="L1859" s="9"/>
    </row>
    <row r="1860" spans="2:12" ht="15" x14ac:dyDescent="0.25">
      <c r="B1860" t="s">
        <v>1913</v>
      </c>
      <c r="C1860" t="s">
        <v>1914</v>
      </c>
      <c r="D1860" t="str">
        <f>HYPERLINK("https://rhld.insurance.arkansas.gov/NPILookup?Npi=1215738125","1215738125")</f>
        <v>1215738125</v>
      </c>
      <c r="E1860" t="s">
        <v>1933</v>
      </c>
      <c r="F1860" t="s">
        <v>13</v>
      </c>
      <c r="G1860" s="20">
        <v>1</v>
      </c>
      <c r="H1860" t="s">
        <v>4357</v>
      </c>
      <c r="I1860" t="s">
        <v>4357</v>
      </c>
      <c r="J1860" s="9"/>
      <c r="K1860" s="23"/>
      <c r="L1860" s="9"/>
    </row>
    <row r="1861" spans="2:12" ht="15" x14ac:dyDescent="0.25">
      <c r="B1861" t="s">
        <v>1913</v>
      </c>
      <c r="C1861" t="s">
        <v>1914</v>
      </c>
      <c r="D1861" t="str">
        <f>HYPERLINK("https://rhld.insurance.arkansas.gov/NPILookup?Npi=1225459951","1225459951")</f>
        <v>1225459951</v>
      </c>
      <c r="E1861" t="s">
        <v>1934</v>
      </c>
      <c r="F1861" t="s">
        <v>13</v>
      </c>
      <c r="G1861" s="20">
        <v>1</v>
      </c>
      <c r="H1861" t="s">
        <v>4357</v>
      </c>
      <c r="I1861" t="s">
        <v>4357</v>
      </c>
      <c r="J1861" s="9"/>
      <c r="K1861" s="9"/>
      <c r="L1861" s="9"/>
    </row>
    <row r="1862" spans="2:12" ht="15" x14ac:dyDescent="0.25">
      <c r="B1862" t="s">
        <v>1913</v>
      </c>
      <c r="C1862" s="21" t="s">
        <v>1914</v>
      </c>
      <c r="D1862" s="21" t="str">
        <f>HYPERLINK("https://rhld.insurance.arkansas.gov/NPILookup?Npi=1225759855","1225759855")</f>
        <v>1225759855</v>
      </c>
      <c r="E1862" s="21" t="s">
        <v>1327</v>
      </c>
      <c r="F1862" s="21" t="s">
        <v>12</v>
      </c>
      <c r="G1862" s="22">
        <v>1</v>
      </c>
      <c r="H1862" s="21" t="s">
        <v>4338</v>
      </c>
      <c r="I1862" s="21" t="s">
        <v>32</v>
      </c>
      <c r="J1862" s="9"/>
      <c r="K1862" s="9"/>
      <c r="L1862" s="9"/>
    </row>
    <row r="1863" spans="2:12" ht="15" x14ac:dyDescent="0.25">
      <c r="B1863" t="s">
        <v>1913</v>
      </c>
      <c r="C1863" t="s">
        <v>1914</v>
      </c>
      <c r="D1863" t="str">
        <f>HYPERLINK("https://rhld.insurance.arkansas.gov/NPILookup?Npi=1225841513","1225841513")</f>
        <v>1225841513</v>
      </c>
      <c r="E1863" t="s">
        <v>1935</v>
      </c>
      <c r="F1863" t="s">
        <v>13</v>
      </c>
      <c r="G1863" s="20">
        <v>1</v>
      </c>
      <c r="H1863" t="s">
        <v>4357</v>
      </c>
      <c r="I1863" t="s">
        <v>4357</v>
      </c>
      <c r="J1863" s="9"/>
      <c r="K1863" s="9"/>
      <c r="L1863" s="9"/>
    </row>
    <row r="1864" spans="2:12" ht="15" x14ac:dyDescent="0.25">
      <c r="B1864" t="s">
        <v>1913</v>
      </c>
      <c r="C1864" s="21" t="s">
        <v>1914</v>
      </c>
      <c r="D1864" s="21" t="str">
        <f>HYPERLINK("https://rhld.insurance.arkansas.gov/NPILookup?Npi=1275872749","1275872749")</f>
        <v>1275872749</v>
      </c>
      <c r="E1864" s="21" t="s">
        <v>1936</v>
      </c>
      <c r="F1864" s="21" t="s">
        <v>12</v>
      </c>
      <c r="G1864" s="22">
        <v>1</v>
      </c>
      <c r="H1864" s="21" t="s">
        <v>4338</v>
      </c>
      <c r="I1864" s="21" t="s">
        <v>32</v>
      </c>
      <c r="J1864" s="9"/>
      <c r="K1864" s="23"/>
      <c r="L1864" s="9"/>
    </row>
    <row r="1865" spans="2:12" ht="15" x14ac:dyDescent="0.25">
      <c r="B1865" t="s">
        <v>1913</v>
      </c>
      <c r="C1865" t="s">
        <v>1914</v>
      </c>
      <c r="D1865" t="str">
        <f>HYPERLINK("https://rhld.insurance.arkansas.gov/NPILookup?Npi=1285247429","1285247429")</f>
        <v>1285247429</v>
      </c>
      <c r="E1865" t="s">
        <v>1937</v>
      </c>
      <c r="F1865" t="s">
        <v>13</v>
      </c>
      <c r="G1865" s="20">
        <v>1</v>
      </c>
      <c r="H1865" t="s">
        <v>4357</v>
      </c>
      <c r="I1865" t="s">
        <v>4357</v>
      </c>
      <c r="J1865" s="9"/>
      <c r="K1865" s="9"/>
      <c r="L1865" s="9"/>
    </row>
    <row r="1866" spans="2:12" ht="15" x14ac:dyDescent="0.25">
      <c r="B1866" t="s">
        <v>1913</v>
      </c>
      <c r="C1866" t="s">
        <v>1914</v>
      </c>
      <c r="D1866" t="str">
        <f>HYPERLINK("https://rhld.insurance.arkansas.gov/NPILookup?Npi=1285459784","1285459784")</f>
        <v>1285459784</v>
      </c>
      <c r="E1866" t="s">
        <v>1938</v>
      </c>
      <c r="F1866" t="s">
        <v>13</v>
      </c>
      <c r="G1866" s="20">
        <v>1</v>
      </c>
      <c r="H1866" t="s">
        <v>4357</v>
      </c>
      <c r="I1866" t="s">
        <v>4357</v>
      </c>
      <c r="J1866" s="9"/>
      <c r="K1866" s="23"/>
      <c r="L1866" s="9"/>
    </row>
    <row r="1867" spans="2:12" ht="15" x14ac:dyDescent="0.25">
      <c r="B1867" t="s">
        <v>1913</v>
      </c>
      <c r="C1867" t="s">
        <v>1914</v>
      </c>
      <c r="D1867" t="str">
        <f>HYPERLINK("https://rhld.insurance.arkansas.gov/NPILookup?Npi=1306258355","1306258355")</f>
        <v>1306258355</v>
      </c>
      <c r="E1867" t="s">
        <v>1939</v>
      </c>
      <c r="F1867" t="s">
        <v>13</v>
      </c>
      <c r="G1867" s="20">
        <v>1</v>
      </c>
      <c r="H1867" t="s">
        <v>4357</v>
      </c>
      <c r="I1867" t="s">
        <v>4357</v>
      </c>
      <c r="J1867" s="9"/>
      <c r="K1867" s="23"/>
      <c r="L1867" s="9"/>
    </row>
    <row r="1868" spans="2:12" ht="15" x14ac:dyDescent="0.25">
      <c r="B1868" t="s">
        <v>1913</v>
      </c>
      <c r="C1868" s="21" t="s">
        <v>1914</v>
      </c>
      <c r="D1868" s="21" t="str">
        <f>HYPERLINK("https://rhld.insurance.arkansas.gov/NPILookup?Npi=1306413554","1306413554")</f>
        <v>1306413554</v>
      </c>
      <c r="E1868" s="21" t="s">
        <v>1940</v>
      </c>
      <c r="F1868" s="21" t="s">
        <v>12</v>
      </c>
      <c r="G1868" s="22">
        <v>1</v>
      </c>
      <c r="H1868" s="21" t="s">
        <v>139</v>
      </c>
      <c r="I1868" s="21" t="s">
        <v>32</v>
      </c>
      <c r="J1868" s="9"/>
      <c r="K1868" s="9"/>
      <c r="L1868" s="9"/>
    </row>
    <row r="1869" spans="2:12" ht="15" x14ac:dyDescent="0.25">
      <c r="B1869" t="s">
        <v>1913</v>
      </c>
      <c r="C1869" t="s">
        <v>1914</v>
      </c>
      <c r="D1869" t="str">
        <f>HYPERLINK("https://rhld.insurance.arkansas.gov/NPILookup?Npi=1316631872","1316631872")</f>
        <v>1316631872</v>
      </c>
      <c r="E1869" t="s">
        <v>1941</v>
      </c>
      <c r="F1869" t="s">
        <v>13</v>
      </c>
      <c r="G1869" s="20">
        <v>1</v>
      </c>
      <c r="H1869" t="s">
        <v>4357</v>
      </c>
      <c r="I1869" t="s">
        <v>4357</v>
      </c>
      <c r="J1869" s="9"/>
      <c r="K1869" s="9"/>
      <c r="L1869" s="9"/>
    </row>
    <row r="1870" spans="2:12" ht="15" x14ac:dyDescent="0.25">
      <c r="B1870" t="s">
        <v>1913</v>
      </c>
      <c r="C1870" s="21" t="s">
        <v>1914</v>
      </c>
      <c r="D1870" s="21" t="str">
        <f>HYPERLINK("https://rhld.insurance.arkansas.gov/NPILookup?Npi=1316675366","1316675366")</f>
        <v>1316675366</v>
      </c>
      <c r="E1870" s="21" t="s">
        <v>1942</v>
      </c>
      <c r="F1870" s="21" t="s">
        <v>12</v>
      </c>
      <c r="G1870" s="22">
        <v>1</v>
      </c>
      <c r="H1870" s="21" t="s">
        <v>4338</v>
      </c>
      <c r="I1870" s="21" t="s">
        <v>32</v>
      </c>
      <c r="J1870" s="9"/>
      <c r="K1870" s="9"/>
      <c r="L1870" s="9"/>
    </row>
    <row r="1871" spans="2:12" ht="15" x14ac:dyDescent="0.25">
      <c r="B1871" t="s">
        <v>1913</v>
      </c>
      <c r="C1871" s="21" t="s">
        <v>1914</v>
      </c>
      <c r="D1871" s="21" t="str">
        <f>HYPERLINK("https://rhld.insurance.arkansas.gov/NPILookup?Npi=1356060131","1356060131")</f>
        <v>1356060131</v>
      </c>
      <c r="E1871" s="21" t="s">
        <v>1943</v>
      </c>
      <c r="F1871" s="21" t="s">
        <v>12</v>
      </c>
      <c r="G1871" s="22">
        <v>1</v>
      </c>
      <c r="H1871" s="21" t="s">
        <v>4338</v>
      </c>
      <c r="I1871" s="21" t="s">
        <v>4357</v>
      </c>
      <c r="J1871" s="9"/>
      <c r="K1871" s="9"/>
      <c r="L1871" s="9"/>
    </row>
    <row r="1872" spans="2:12" ht="15" x14ac:dyDescent="0.25">
      <c r="B1872" t="s">
        <v>1913</v>
      </c>
      <c r="C1872" t="s">
        <v>1914</v>
      </c>
      <c r="D1872" t="str">
        <f>HYPERLINK("https://rhld.insurance.arkansas.gov/NPILookup?Npi=1356165906","1356165906")</f>
        <v>1356165906</v>
      </c>
      <c r="E1872" t="s">
        <v>1944</v>
      </c>
      <c r="F1872" t="s">
        <v>13</v>
      </c>
      <c r="G1872" s="20">
        <v>1</v>
      </c>
      <c r="H1872" t="s">
        <v>4357</v>
      </c>
      <c r="I1872" t="s">
        <v>4357</v>
      </c>
      <c r="J1872" s="9"/>
      <c r="K1872" s="9"/>
      <c r="L1872" s="9"/>
    </row>
    <row r="1873" spans="2:12" ht="15" x14ac:dyDescent="0.25">
      <c r="B1873" t="s">
        <v>1913</v>
      </c>
      <c r="C1873" t="s">
        <v>1914</v>
      </c>
      <c r="D1873" t="str">
        <f>HYPERLINK("https://rhld.insurance.arkansas.gov/NPILookup?Npi=1366260085","1366260085")</f>
        <v>1366260085</v>
      </c>
      <c r="E1873" t="s">
        <v>1945</v>
      </c>
      <c r="F1873" t="s">
        <v>13</v>
      </c>
      <c r="G1873" s="20">
        <v>1</v>
      </c>
      <c r="H1873" t="s">
        <v>4357</v>
      </c>
      <c r="I1873" t="s">
        <v>4357</v>
      </c>
      <c r="J1873" s="9"/>
      <c r="K1873" s="9"/>
      <c r="L1873" s="9"/>
    </row>
    <row r="1874" spans="2:12" ht="15" x14ac:dyDescent="0.25">
      <c r="B1874" t="s">
        <v>1913</v>
      </c>
      <c r="C1874" t="s">
        <v>1914</v>
      </c>
      <c r="D1874" t="str">
        <f>HYPERLINK("https://rhld.insurance.arkansas.gov/NPILookup?Npi=1366869174","1366869174")</f>
        <v>1366869174</v>
      </c>
      <c r="E1874" t="s">
        <v>1946</v>
      </c>
      <c r="F1874" t="s">
        <v>13</v>
      </c>
      <c r="G1874" s="20">
        <v>1</v>
      </c>
      <c r="H1874" t="s">
        <v>4357</v>
      </c>
      <c r="I1874" t="s">
        <v>4357</v>
      </c>
      <c r="J1874" s="9"/>
      <c r="K1874" s="9"/>
      <c r="L1874" s="9"/>
    </row>
    <row r="1875" spans="2:12" ht="15" x14ac:dyDescent="0.25">
      <c r="B1875" t="s">
        <v>1913</v>
      </c>
      <c r="C1875" t="s">
        <v>1914</v>
      </c>
      <c r="D1875" t="str">
        <f>HYPERLINK("https://rhld.insurance.arkansas.gov/NPILookup?Npi=1386278836","1386278836")</f>
        <v>1386278836</v>
      </c>
      <c r="E1875" t="s">
        <v>1947</v>
      </c>
      <c r="F1875" t="s">
        <v>13</v>
      </c>
      <c r="G1875" s="20">
        <v>1</v>
      </c>
      <c r="H1875" t="s">
        <v>4357</v>
      </c>
      <c r="I1875" t="s">
        <v>4357</v>
      </c>
      <c r="J1875" s="9"/>
      <c r="K1875" s="9"/>
      <c r="L1875" s="9"/>
    </row>
    <row r="1876" spans="2:12" ht="15" x14ac:dyDescent="0.25">
      <c r="B1876" t="s">
        <v>1913</v>
      </c>
      <c r="C1876" t="s">
        <v>1914</v>
      </c>
      <c r="D1876" t="str">
        <f>HYPERLINK("https://rhld.insurance.arkansas.gov/NPILookup?Npi=1386537546","1386537546")</f>
        <v>1386537546</v>
      </c>
      <c r="E1876" t="s">
        <v>1948</v>
      </c>
      <c r="F1876" t="s">
        <v>13</v>
      </c>
      <c r="G1876" s="20">
        <v>1</v>
      </c>
      <c r="H1876" t="s">
        <v>4357</v>
      </c>
      <c r="I1876" t="s">
        <v>4357</v>
      </c>
      <c r="J1876" s="9"/>
      <c r="K1876" s="9"/>
      <c r="L1876" s="9"/>
    </row>
    <row r="1877" spans="2:12" ht="15" x14ac:dyDescent="0.25">
      <c r="B1877" t="s">
        <v>1913</v>
      </c>
      <c r="C1877" t="s">
        <v>1914</v>
      </c>
      <c r="D1877" t="str">
        <f>HYPERLINK("https://rhld.insurance.arkansas.gov/NPILookup?Npi=1427386481","1427386481")</f>
        <v>1427386481</v>
      </c>
      <c r="E1877" t="s">
        <v>1949</v>
      </c>
      <c r="F1877" t="s">
        <v>13</v>
      </c>
      <c r="G1877" s="20">
        <v>1</v>
      </c>
      <c r="H1877" t="s">
        <v>4357</v>
      </c>
      <c r="I1877" t="s">
        <v>4357</v>
      </c>
      <c r="J1877" s="9"/>
      <c r="K1877" s="9"/>
      <c r="L1877" s="9"/>
    </row>
    <row r="1878" spans="2:12" ht="15" x14ac:dyDescent="0.25">
      <c r="B1878" t="s">
        <v>1913</v>
      </c>
      <c r="C1878" t="s">
        <v>1914</v>
      </c>
      <c r="D1878" t="str">
        <f>HYPERLINK("https://rhld.insurance.arkansas.gov/NPILookup?Npi=1427706605","1427706605")</f>
        <v>1427706605</v>
      </c>
      <c r="E1878" t="s">
        <v>1950</v>
      </c>
      <c r="F1878" t="s">
        <v>13</v>
      </c>
      <c r="G1878" s="20">
        <v>1</v>
      </c>
      <c r="H1878" t="s">
        <v>4357</v>
      </c>
      <c r="I1878" t="s">
        <v>4357</v>
      </c>
      <c r="J1878" s="9"/>
      <c r="K1878" s="9"/>
      <c r="L1878" s="9"/>
    </row>
    <row r="1879" spans="2:12" ht="15" x14ac:dyDescent="0.25">
      <c r="B1879" t="s">
        <v>1913</v>
      </c>
      <c r="C1879" t="s">
        <v>1914</v>
      </c>
      <c r="D1879" t="str">
        <f>HYPERLINK("https://rhld.insurance.arkansas.gov/NPILookup?Npi=1437410172","1437410172")</f>
        <v>1437410172</v>
      </c>
      <c r="E1879" t="s">
        <v>1951</v>
      </c>
      <c r="F1879" t="s">
        <v>13</v>
      </c>
      <c r="G1879" s="20">
        <v>1</v>
      </c>
      <c r="H1879" t="s">
        <v>4357</v>
      </c>
      <c r="I1879" t="s">
        <v>4357</v>
      </c>
      <c r="J1879" s="9"/>
      <c r="K1879" s="9"/>
      <c r="L1879" s="9"/>
    </row>
    <row r="1880" spans="2:12" ht="15" x14ac:dyDescent="0.25">
      <c r="B1880" t="s">
        <v>1913</v>
      </c>
      <c r="C1880" t="s">
        <v>1914</v>
      </c>
      <c r="D1880" t="str">
        <f>HYPERLINK("https://rhld.insurance.arkansas.gov/NPILookup?Npi=1437994308","1437994308")</f>
        <v>1437994308</v>
      </c>
      <c r="E1880" t="s">
        <v>1952</v>
      </c>
      <c r="F1880" t="s">
        <v>13</v>
      </c>
      <c r="G1880" s="20">
        <v>1</v>
      </c>
      <c r="H1880" t="s">
        <v>4357</v>
      </c>
      <c r="I1880" t="s">
        <v>4357</v>
      </c>
      <c r="J1880" s="9"/>
      <c r="K1880" s="23"/>
      <c r="L1880" s="9"/>
    </row>
    <row r="1881" spans="2:12" ht="15" x14ac:dyDescent="0.25">
      <c r="B1881" t="s">
        <v>1913</v>
      </c>
      <c r="C1881" t="s">
        <v>1914</v>
      </c>
      <c r="D1881" t="str">
        <f>HYPERLINK("https://rhld.insurance.arkansas.gov/NPILookup?Npi=1477380202","1477380202")</f>
        <v>1477380202</v>
      </c>
      <c r="E1881" t="s">
        <v>1953</v>
      </c>
      <c r="F1881" t="s">
        <v>13</v>
      </c>
      <c r="G1881" s="20">
        <v>1</v>
      </c>
      <c r="H1881" t="s">
        <v>4357</v>
      </c>
      <c r="I1881" t="s">
        <v>4357</v>
      </c>
      <c r="J1881" s="9"/>
      <c r="K1881" s="9"/>
      <c r="L1881" s="9"/>
    </row>
    <row r="1882" spans="2:12" ht="15" x14ac:dyDescent="0.25">
      <c r="B1882" t="s">
        <v>1913</v>
      </c>
      <c r="C1882" t="s">
        <v>1914</v>
      </c>
      <c r="D1882" t="str">
        <f>HYPERLINK("https://rhld.insurance.arkansas.gov/NPILookup?Npi=1477380350","1477380350")</f>
        <v>1477380350</v>
      </c>
      <c r="E1882" t="s">
        <v>1954</v>
      </c>
      <c r="F1882" t="s">
        <v>13</v>
      </c>
      <c r="G1882" s="20">
        <v>1</v>
      </c>
      <c r="H1882" t="s">
        <v>4357</v>
      </c>
      <c r="I1882" t="s">
        <v>4357</v>
      </c>
      <c r="J1882" s="9"/>
      <c r="K1882" s="9"/>
      <c r="L1882" s="9"/>
    </row>
    <row r="1883" spans="2:12" ht="15" x14ac:dyDescent="0.25">
      <c r="B1883" t="s">
        <v>1913</v>
      </c>
      <c r="C1883" t="s">
        <v>1914</v>
      </c>
      <c r="D1883" t="str">
        <f>HYPERLINK("https://rhld.insurance.arkansas.gov/NPILookup?Npi=1497152060","1497152060")</f>
        <v>1497152060</v>
      </c>
      <c r="E1883" t="s">
        <v>1955</v>
      </c>
      <c r="F1883" t="s">
        <v>13</v>
      </c>
      <c r="G1883" s="20">
        <v>1</v>
      </c>
      <c r="H1883" t="s">
        <v>4357</v>
      </c>
      <c r="I1883" t="s">
        <v>4357</v>
      </c>
      <c r="J1883" s="9"/>
      <c r="K1883" s="9"/>
      <c r="L1883" s="9"/>
    </row>
    <row r="1884" spans="2:12" ht="15" x14ac:dyDescent="0.25">
      <c r="B1884" t="s">
        <v>1913</v>
      </c>
      <c r="C1884" s="21" t="s">
        <v>1914</v>
      </c>
      <c r="D1884" s="21" t="str">
        <f>HYPERLINK("https://rhld.insurance.arkansas.gov/NPILookup?Npi=1518622257","1518622257")</f>
        <v>1518622257</v>
      </c>
      <c r="E1884" s="21" t="s">
        <v>1956</v>
      </c>
      <c r="F1884" s="21" t="s">
        <v>12</v>
      </c>
      <c r="G1884" s="22">
        <v>1</v>
      </c>
      <c r="H1884" s="21" t="s">
        <v>4338</v>
      </c>
      <c r="I1884" s="21" t="s">
        <v>32</v>
      </c>
      <c r="J1884" s="9"/>
      <c r="K1884" s="9"/>
      <c r="L1884" s="9"/>
    </row>
    <row r="1885" spans="2:12" ht="15" x14ac:dyDescent="0.25">
      <c r="B1885" t="s">
        <v>1913</v>
      </c>
      <c r="C1885" t="s">
        <v>1914</v>
      </c>
      <c r="D1885" t="str">
        <f>HYPERLINK("https://rhld.insurance.arkansas.gov/NPILookup?Npi=1538700679","1538700679")</f>
        <v>1538700679</v>
      </c>
      <c r="E1885" t="s">
        <v>1957</v>
      </c>
      <c r="F1885" t="s">
        <v>13</v>
      </c>
      <c r="G1885" s="20">
        <v>1</v>
      </c>
      <c r="H1885" t="s">
        <v>4357</v>
      </c>
      <c r="I1885" t="s">
        <v>4357</v>
      </c>
      <c r="J1885" s="9"/>
      <c r="K1885" s="9"/>
      <c r="L1885" s="9"/>
    </row>
    <row r="1886" spans="2:12" ht="15" x14ac:dyDescent="0.25">
      <c r="B1886" t="s">
        <v>1913</v>
      </c>
      <c r="C1886" t="s">
        <v>1914</v>
      </c>
      <c r="D1886" t="str">
        <f>HYPERLINK("https://rhld.insurance.arkansas.gov/NPILookup?Npi=1548018534","1548018534")</f>
        <v>1548018534</v>
      </c>
      <c r="E1886" t="s">
        <v>1958</v>
      </c>
      <c r="F1886" t="s">
        <v>13</v>
      </c>
      <c r="G1886" s="20">
        <v>1</v>
      </c>
      <c r="H1886" t="s">
        <v>4357</v>
      </c>
      <c r="I1886" t="s">
        <v>4357</v>
      </c>
      <c r="J1886" s="9"/>
      <c r="K1886" s="9"/>
      <c r="L1886" s="9"/>
    </row>
    <row r="1887" spans="2:12" ht="15" x14ac:dyDescent="0.25">
      <c r="B1887" t="s">
        <v>1913</v>
      </c>
      <c r="C1887" t="s">
        <v>1914</v>
      </c>
      <c r="D1887" t="str">
        <f>HYPERLINK("https://rhld.insurance.arkansas.gov/NPILookup?Npi=1548956329","1548956329")</f>
        <v>1548956329</v>
      </c>
      <c r="E1887" t="s">
        <v>1959</v>
      </c>
      <c r="F1887" t="s">
        <v>13</v>
      </c>
      <c r="G1887" s="20">
        <v>1</v>
      </c>
      <c r="H1887" t="s">
        <v>4357</v>
      </c>
      <c r="I1887" t="s">
        <v>4357</v>
      </c>
      <c r="J1887" s="9"/>
      <c r="K1887" s="9"/>
      <c r="L1887" s="9"/>
    </row>
    <row r="1888" spans="2:12" ht="15" x14ac:dyDescent="0.25">
      <c r="B1888" t="s">
        <v>1913</v>
      </c>
      <c r="C1888" t="s">
        <v>1914</v>
      </c>
      <c r="D1888" t="str">
        <f>HYPERLINK("https://rhld.insurance.arkansas.gov/NPILookup?Npi=1558188805","1558188805")</f>
        <v>1558188805</v>
      </c>
      <c r="E1888" t="s">
        <v>1960</v>
      </c>
      <c r="F1888" t="s">
        <v>13</v>
      </c>
      <c r="G1888" s="20">
        <v>1</v>
      </c>
      <c r="H1888" t="s">
        <v>4357</v>
      </c>
      <c r="I1888" t="s">
        <v>4357</v>
      </c>
      <c r="J1888" s="9"/>
      <c r="K1888" s="9"/>
      <c r="L1888" s="9"/>
    </row>
    <row r="1889" spans="2:12" ht="15" x14ac:dyDescent="0.25">
      <c r="B1889" t="s">
        <v>1913</v>
      </c>
      <c r="C1889" t="s">
        <v>1914</v>
      </c>
      <c r="D1889" t="str">
        <f>HYPERLINK("https://rhld.insurance.arkansas.gov/NPILookup?Npi=1558600668","1558600668")</f>
        <v>1558600668</v>
      </c>
      <c r="E1889" t="s">
        <v>1961</v>
      </c>
      <c r="F1889" t="s">
        <v>13</v>
      </c>
      <c r="G1889" s="20">
        <v>1</v>
      </c>
      <c r="H1889" t="s">
        <v>4357</v>
      </c>
      <c r="I1889" t="s">
        <v>4357</v>
      </c>
      <c r="J1889" s="9"/>
      <c r="K1889" s="9"/>
      <c r="L1889" s="9"/>
    </row>
    <row r="1890" spans="2:12" ht="15" x14ac:dyDescent="0.25">
      <c r="B1890" t="s">
        <v>1913</v>
      </c>
      <c r="C1890" t="s">
        <v>1914</v>
      </c>
      <c r="D1890" t="str">
        <f>HYPERLINK("https://rhld.insurance.arkansas.gov/NPILookup?Npi=1568441715","1568441715")</f>
        <v>1568441715</v>
      </c>
      <c r="E1890" t="s">
        <v>1962</v>
      </c>
      <c r="F1890" t="s">
        <v>13</v>
      </c>
      <c r="G1890" s="20">
        <v>1</v>
      </c>
      <c r="H1890" t="s">
        <v>4357</v>
      </c>
      <c r="I1890" t="s">
        <v>4357</v>
      </c>
      <c r="J1890" s="9"/>
      <c r="K1890" s="9"/>
      <c r="L1890" s="9"/>
    </row>
    <row r="1891" spans="2:12" ht="15" x14ac:dyDescent="0.25">
      <c r="B1891" t="s">
        <v>1913</v>
      </c>
      <c r="C1891" t="s">
        <v>1914</v>
      </c>
      <c r="D1891" t="str">
        <f>HYPERLINK("https://rhld.insurance.arkansas.gov/NPILookup?Npi=1588496749","1588496749")</f>
        <v>1588496749</v>
      </c>
      <c r="E1891" t="s">
        <v>1964</v>
      </c>
      <c r="F1891" t="s">
        <v>13</v>
      </c>
      <c r="G1891" s="20">
        <v>1</v>
      </c>
      <c r="H1891" t="s">
        <v>4357</v>
      </c>
      <c r="I1891" t="s">
        <v>4357</v>
      </c>
      <c r="J1891" s="9"/>
      <c r="K1891" s="9"/>
      <c r="L1891" s="9"/>
    </row>
    <row r="1892" spans="2:12" ht="15" x14ac:dyDescent="0.25">
      <c r="B1892" t="s">
        <v>1913</v>
      </c>
      <c r="C1892" t="s">
        <v>1914</v>
      </c>
      <c r="D1892" t="str">
        <f>HYPERLINK("https://rhld.insurance.arkansas.gov/NPILookup?Npi=1598590010","1598590010")</f>
        <v>1598590010</v>
      </c>
      <c r="E1892" t="s">
        <v>1965</v>
      </c>
      <c r="F1892" t="s">
        <v>13</v>
      </c>
      <c r="G1892" s="20">
        <v>1</v>
      </c>
      <c r="H1892" t="s">
        <v>4357</v>
      </c>
      <c r="I1892" t="s">
        <v>4357</v>
      </c>
      <c r="J1892" s="9"/>
      <c r="K1892" s="9"/>
      <c r="L1892" s="9"/>
    </row>
    <row r="1893" spans="2:12" ht="15" x14ac:dyDescent="0.25">
      <c r="B1893" t="s">
        <v>1913</v>
      </c>
      <c r="C1893" t="s">
        <v>1914</v>
      </c>
      <c r="D1893" t="str">
        <f>HYPERLINK("https://rhld.insurance.arkansas.gov/NPILookup?Npi=1619704434","1619704434")</f>
        <v>1619704434</v>
      </c>
      <c r="E1893" t="s">
        <v>1966</v>
      </c>
      <c r="F1893" t="s">
        <v>13</v>
      </c>
      <c r="G1893" s="20">
        <v>1</v>
      </c>
      <c r="H1893" t="s">
        <v>4357</v>
      </c>
      <c r="I1893" t="s">
        <v>4357</v>
      </c>
      <c r="J1893" s="9"/>
      <c r="K1893" s="9"/>
      <c r="L1893" s="9"/>
    </row>
    <row r="1894" spans="2:12" ht="15" x14ac:dyDescent="0.25">
      <c r="B1894" t="s">
        <v>1913</v>
      </c>
      <c r="C1894" t="s">
        <v>1914</v>
      </c>
      <c r="D1894" t="str">
        <f>HYPERLINK("https://rhld.insurance.arkansas.gov/NPILookup?Npi=1629539309","1629539309")</f>
        <v>1629539309</v>
      </c>
      <c r="E1894" t="s">
        <v>1967</v>
      </c>
      <c r="F1894" t="s">
        <v>13</v>
      </c>
      <c r="G1894" s="20">
        <v>1</v>
      </c>
      <c r="H1894" t="s">
        <v>4357</v>
      </c>
      <c r="I1894" t="s">
        <v>4357</v>
      </c>
      <c r="J1894" s="9"/>
      <c r="K1894" s="9"/>
      <c r="L1894" s="9"/>
    </row>
    <row r="1895" spans="2:12" ht="15" x14ac:dyDescent="0.25">
      <c r="B1895" t="s">
        <v>1913</v>
      </c>
      <c r="C1895" t="s">
        <v>1914</v>
      </c>
      <c r="D1895" t="str">
        <f>HYPERLINK("https://rhld.insurance.arkansas.gov/NPILookup?Npi=1629882840","1629882840")</f>
        <v>1629882840</v>
      </c>
      <c r="E1895" t="s">
        <v>1968</v>
      </c>
      <c r="F1895" t="s">
        <v>13</v>
      </c>
      <c r="G1895" s="20">
        <v>1</v>
      </c>
      <c r="H1895" t="s">
        <v>4357</v>
      </c>
      <c r="I1895" t="s">
        <v>4357</v>
      </c>
      <c r="J1895" s="9"/>
      <c r="K1895" s="23"/>
      <c r="L1895" s="9"/>
    </row>
    <row r="1896" spans="2:12" ht="15" x14ac:dyDescent="0.25">
      <c r="B1896" t="s">
        <v>1913</v>
      </c>
      <c r="C1896" t="s">
        <v>1914</v>
      </c>
      <c r="D1896" t="str">
        <f>HYPERLINK("https://rhld.insurance.arkansas.gov/NPILookup?Npi=1629897475","1629897475")</f>
        <v>1629897475</v>
      </c>
      <c r="E1896" t="s">
        <v>1969</v>
      </c>
      <c r="F1896" t="s">
        <v>13</v>
      </c>
      <c r="G1896" s="20">
        <v>1</v>
      </c>
      <c r="H1896" t="s">
        <v>4357</v>
      </c>
      <c r="I1896" t="s">
        <v>4357</v>
      </c>
      <c r="J1896" s="9"/>
      <c r="K1896" s="9"/>
      <c r="L1896" s="9"/>
    </row>
    <row r="1897" spans="2:12" ht="15" x14ac:dyDescent="0.25">
      <c r="B1897" t="s">
        <v>1913</v>
      </c>
      <c r="C1897" t="s">
        <v>1914</v>
      </c>
      <c r="D1897" t="str">
        <f>HYPERLINK("https://rhld.insurance.arkansas.gov/NPILookup?Npi=1639425820","1639425820")</f>
        <v>1639425820</v>
      </c>
      <c r="E1897" t="s">
        <v>1970</v>
      </c>
      <c r="F1897" t="s">
        <v>13</v>
      </c>
      <c r="G1897" s="20">
        <v>1</v>
      </c>
      <c r="H1897" t="s">
        <v>4357</v>
      </c>
      <c r="I1897" t="s">
        <v>4357</v>
      </c>
      <c r="J1897" s="9"/>
      <c r="K1897" s="9"/>
      <c r="L1897" s="9"/>
    </row>
    <row r="1898" spans="2:12" ht="15" x14ac:dyDescent="0.25">
      <c r="B1898" t="s">
        <v>1913</v>
      </c>
      <c r="C1898" t="s">
        <v>1914</v>
      </c>
      <c r="D1898" t="str">
        <f>HYPERLINK("https://rhld.insurance.arkansas.gov/NPILookup?Npi=1659101715","1659101715")</f>
        <v>1659101715</v>
      </c>
      <c r="E1898" t="s">
        <v>1971</v>
      </c>
      <c r="F1898" t="s">
        <v>13</v>
      </c>
      <c r="G1898" s="20">
        <v>1</v>
      </c>
      <c r="H1898" t="s">
        <v>4357</v>
      </c>
      <c r="I1898" t="s">
        <v>4357</v>
      </c>
      <c r="J1898" s="9"/>
      <c r="K1898" s="9"/>
      <c r="L1898" s="9"/>
    </row>
    <row r="1899" spans="2:12" ht="15" x14ac:dyDescent="0.25">
      <c r="B1899" t="s">
        <v>1913</v>
      </c>
      <c r="C1899" s="21" t="s">
        <v>1914</v>
      </c>
      <c r="D1899" s="21" t="str">
        <f>HYPERLINK("https://rhld.insurance.arkansas.gov/NPILookup?Npi=1659803864","1659803864")</f>
        <v>1659803864</v>
      </c>
      <c r="E1899" s="21" t="s">
        <v>1972</v>
      </c>
      <c r="F1899" s="21" t="s">
        <v>12</v>
      </c>
      <c r="G1899" s="22">
        <v>1</v>
      </c>
      <c r="H1899" s="21" t="s">
        <v>4338</v>
      </c>
      <c r="I1899" s="21" t="s">
        <v>32</v>
      </c>
      <c r="J1899" s="9"/>
      <c r="K1899" s="9"/>
      <c r="L1899" s="9"/>
    </row>
    <row r="1900" spans="2:12" ht="15" x14ac:dyDescent="0.25">
      <c r="B1900" t="s">
        <v>1913</v>
      </c>
      <c r="C1900" t="s">
        <v>1914</v>
      </c>
      <c r="D1900" t="str">
        <f>HYPERLINK("https://rhld.insurance.arkansas.gov/NPILookup?Npi=1659980167","1659980167")</f>
        <v>1659980167</v>
      </c>
      <c r="E1900" t="s">
        <v>1973</v>
      </c>
      <c r="F1900" t="s">
        <v>13</v>
      </c>
      <c r="G1900" s="20">
        <v>1</v>
      </c>
      <c r="H1900" t="s">
        <v>4357</v>
      </c>
      <c r="I1900" t="s">
        <v>4357</v>
      </c>
      <c r="J1900" s="9"/>
      <c r="K1900" s="9"/>
      <c r="L1900" s="9"/>
    </row>
    <row r="1901" spans="2:12" ht="15" x14ac:dyDescent="0.25">
      <c r="B1901" t="s">
        <v>1913</v>
      </c>
      <c r="C1901" t="s">
        <v>1914</v>
      </c>
      <c r="D1901" t="str">
        <f>HYPERLINK("https://rhld.insurance.arkansas.gov/NPILookup?Npi=1699509489","1699509489")</f>
        <v>1699509489</v>
      </c>
      <c r="E1901" t="s">
        <v>1974</v>
      </c>
      <c r="F1901" t="s">
        <v>13</v>
      </c>
      <c r="G1901" s="20">
        <v>1</v>
      </c>
      <c r="H1901" t="s">
        <v>4357</v>
      </c>
      <c r="I1901" t="s">
        <v>4357</v>
      </c>
      <c r="J1901" s="9"/>
      <c r="K1901" s="9"/>
      <c r="L1901" s="9"/>
    </row>
    <row r="1902" spans="2:12" ht="15" x14ac:dyDescent="0.25">
      <c r="B1902" t="s">
        <v>1913</v>
      </c>
      <c r="C1902" t="s">
        <v>1914</v>
      </c>
      <c r="D1902" t="str">
        <f>HYPERLINK("https://rhld.insurance.arkansas.gov/NPILookup?Npi=1699598672","1699598672")</f>
        <v>1699598672</v>
      </c>
      <c r="E1902" t="s">
        <v>1975</v>
      </c>
      <c r="F1902" t="s">
        <v>13</v>
      </c>
      <c r="G1902" s="20">
        <v>1</v>
      </c>
      <c r="H1902" t="s">
        <v>4357</v>
      </c>
      <c r="I1902" t="s">
        <v>4357</v>
      </c>
      <c r="J1902" s="9"/>
      <c r="K1902" s="23"/>
      <c r="L1902" s="9"/>
    </row>
    <row r="1903" spans="2:12" ht="15" x14ac:dyDescent="0.25">
      <c r="B1903" t="s">
        <v>1913</v>
      </c>
      <c r="C1903" t="s">
        <v>1914</v>
      </c>
      <c r="D1903" t="str">
        <f>HYPERLINK("https://rhld.insurance.arkansas.gov/NPILookup?Npi=1720158306","1720158306")</f>
        <v>1720158306</v>
      </c>
      <c r="E1903" t="s">
        <v>1976</v>
      </c>
      <c r="F1903" t="s">
        <v>13</v>
      </c>
      <c r="G1903" s="20">
        <v>1</v>
      </c>
      <c r="H1903" t="s">
        <v>4357</v>
      </c>
      <c r="I1903" t="s">
        <v>4357</v>
      </c>
      <c r="J1903" s="9"/>
      <c r="K1903" s="9"/>
      <c r="L1903" s="9"/>
    </row>
    <row r="1904" spans="2:12" ht="15" x14ac:dyDescent="0.25">
      <c r="B1904" t="s">
        <v>1913</v>
      </c>
      <c r="C1904" t="s">
        <v>1914</v>
      </c>
      <c r="D1904" t="str">
        <f>HYPERLINK("https://rhld.insurance.arkansas.gov/NPILookup?Npi=1720449721","1720449721")</f>
        <v>1720449721</v>
      </c>
      <c r="E1904" t="s">
        <v>1977</v>
      </c>
      <c r="F1904" t="s">
        <v>13</v>
      </c>
      <c r="G1904" s="20">
        <v>1</v>
      </c>
      <c r="H1904" t="s">
        <v>4357</v>
      </c>
      <c r="I1904" t="s">
        <v>4357</v>
      </c>
      <c r="J1904" s="9"/>
      <c r="K1904" s="9"/>
      <c r="L1904" s="9"/>
    </row>
    <row r="1905" spans="2:12" ht="15" x14ac:dyDescent="0.25">
      <c r="B1905" t="s">
        <v>1913</v>
      </c>
      <c r="C1905" t="s">
        <v>1914</v>
      </c>
      <c r="D1905" t="str">
        <f>HYPERLINK("https://rhld.insurance.arkansas.gov/NPILookup?Npi=1720807423","1720807423")</f>
        <v>1720807423</v>
      </c>
      <c r="E1905" t="s">
        <v>1978</v>
      </c>
      <c r="F1905" t="s">
        <v>13</v>
      </c>
      <c r="G1905" s="20">
        <v>1</v>
      </c>
      <c r="H1905" t="s">
        <v>4357</v>
      </c>
      <c r="I1905" t="s">
        <v>4357</v>
      </c>
      <c r="J1905" s="9"/>
      <c r="K1905" s="9"/>
      <c r="L1905" s="9"/>
    </row>
    <row r="1906" spans="2:12" ht="15" x14ac:dyDescent="0.25">
      <c r="B1906" t="s">
        <v>1913</v>
      </c>
      <c r="C1906" s="21" t="s">
        <v>1914</v>
      </c>
      <c r="D1906" s="21" t="str">
        <f>HYPERLINK("https://rhld.insurance.arkansas.gov/NPILookup?Npi=1730223058","1730223058")</f>
        <v>1730223058</v>
      </c>
      <c r="E1906" s="21" t="s">
        <v>1979</v>
      </c>
      <c r="F1906" s="21" t="s">
        <v>12</v>
      </c>
      <c r="G1906" s="22">
        <v>1</v>
      </c>
      <c r="H1906" s="21" t="s">
        <v>139</v>
      </c>
      <c r="I1906" s="21" t="s">
        <v>32</v>
      </c>
      <c r="J1906" s="9"/>
      <c r="K1906" s="23"/>
      <c r="L1906" s="9"/>
    </row>
    <row r="1907" spans="2:12" ht="15" x14ac:dyDescent="0.25">
      <c r="B1907" t="s">
        <v>1913</v>
      </c>
      <c r="C1907" t="s">
        <v>1914</v>
      </c>
      <c r="D1907" t="str">
        <f>HYPERLINK("https://rhld.insurance.arkansas.gov/NPILookup?Npi=1740647379","1740647379")</f>
        <v>1740647379</v>
      </c>
      <c r="E1907" t="s">
        <v>1980</v>
      </c>
      <c r="F1907" t="s">
        <v>13</v>
      </c>
      <c r="G1907" s="20">
        <v>1</v>
      </c>
      <c r="H1907" t="s">
        <v>4357</v>
      </c>
      <c r="I1907" t="s">
        <v>4357</v>
      </c>
      <c r="J1907" s="9"/>
      <c r="K1907" s="9"/>
      <c r="L1907" s="9"/>
    </row>
    <row r="1908" spans="2:12" ht="15" x14ac:dyDescent="0.25">
      <c r="B1908" t="s">
        <v>1913</v>
      </c>
      <c r="C1908" t="s">
        <v>1914</v>
      </c>
      <c r="D1908" t="str">
        <f>HYPERLINK("https://rhld.insurance.arkansas.gov/NPILookup?Npi=1750865044","1750865044")</f>
        <v>1750865044</v>
      </c>
      <c r="E1908" t="s">
        <v>1981</v>
      </c>
      <c r="F1908" t="s">
        <v>13</v>
      </c>
      <c r="G1908" s="20">
        <v>1</v>
      </c>
      <c r="H1908" t="s">
        <v>4357</v>
      </c>
      <c r="I1908" t="s">
        <v>4357</v>
      </c>
      <c r="J1908" s="9"/>
      <c r="K1908" s="9"/>
      <c r="L1908" s="9"/>
    </row>
    <row r="1909" spans="2:12" ht="15" x14ac:dyDescent="0.25">
      <c r="B1909" t="s">
        <v>1913</v>
      </c>
      <c r="C1909" t="s">
        <v>1914</v>
      </c>
      <c r="D1909" t="str">
        <f>HYPERLINK("https://rhld.insurance.arkansas.gov/NPILookup?Npi=1780481606","1780481606")</f>
        <v>1780481606</v>
      </c>
      <c r="E1909" t="s">
        <v>1918</v>
      </c>
      <c r="F1909" t="s">
        <v>13</v>
      </c>
      <c r="G1909" s="20">
        <v>1</v>
      </c>
      <c r="H1909" t="s">
        <v>4357</v>
      </c>
      <c r="I1909" t="s">
        <v>4357</v>
      </c>
      <c r="J1909" s="9"/>
      <c r="K1909" s="9"/>
      <c r="L1909" s="9"/>
    </row>
    <row r="1910" spans="2:12" ht="15" x14ac:dyDescent="0.25">
      <c r="B1910" t="s">
        <v>1913</v>
      </c>
      <c r="C1910" s="21" t="s">
        <v>1914</v>
      </c>
      <c r="D1910" s="21" t="str">
        <f>HYPERLINK("https://rhld.insurance.arkansas.gov/NPILookup?Npi=1790936045","1790936045")</f>
        <v>1790936045</v>
      </c>
      <c r="E1910" s="21" t="s">
        <v>1982</v>
      </c>
      <c r="F1910" s="21" t="s">
        <v>12</v>
      </c>
      <c r="G1910" s="22">
        <v>1</v>
      </c>
      <c r="H1910" s="21" t="s">
        <v>4338</v>
      </c>
      <c r="I1910" s="21" t="s">
        <v>32</v>
      </c>
      <c r="J1910" s="9"/>
      <c r="K1910" s="9"/>
      <c r="L1910" s="9"/>
    </row>
    <row r="1911" spans="2:12" ht="15" x14ac:dyDescent="0.25">
      <c r="B1911" t="s">
        <v>1913</v>
      </c>
      <c r="C1911" t="s">
        <v>1914</v>
      </c>
      <c r="D1911" t="str">
        <f>HYPERLINK("https://rhld.insurance.arkansas.gov/NPILookup?Npi=1811679202","1811679202")</f>
        <v>1811679202</v>
      </c>
      <c r="E1911" t="s">
        <v>1983</v>
      </c>
      <c r="F1911" t="s">
        <v>13</v>
      </c>
      <c r="G1911" s="20">
        <v>1</v>
      </c>
      <c r="H1911" t="s">
        <v>4357</v>
      </c>
      <c r="I1911" t="s">
        <v>4357</v>
      </c>
      <c r="J1911" s="9"/>
      <c r="K1911" s="23"/>
      <c r="L1911" s="9"/>
    </row>
    <row r="1912" spans="2:12" ht="15" x14ac:dyDescent="0.25">
      <c r="B1912" t="s">
        <v>1913</v>
      </c>
      <c r="C1912" t="s">
        <v>1914</v>
      </c>
      <c r="D1912" t="str">
        <f>HYPERLINK("https://rhld.insurance.arkansas.gov/NPILookup?Npi=1811714082","1811714082")</f>
        <v>1811714082</v>
      </c>
      <c r="E1912" t="s">
        <v>1984</v>
      </c>
      <c r="F1912" t="s">
        <v>13</v>
      </c>
      <c r="G1912" s="20">
        <v>1</v>
      </c>
      <c r="H1912" t="s">
        <v>4357</v>
      </c>
      <c r="I1912" t="s">
        <v>4357</v>
      </c>
      <c r="J1912" s="9"/>
      <c r="K1912" s="9"/>
      <c r="L1912" s="9"/>
    </row>
    <row r="1913" spans="2:12" ht="15" x14ac:dyDescent="0.25">
      <c r="B1913" t="s">
        <v>1913</v>
      </c>
      <c r="C1913" t="s">
        <v>1914</v>
      </c>
      <c r="D1913" t="str">
        <f>HYPERLINK("https://rhld.insurance.arkansas.gov/NPILookup?Npi=1821805292","1821805292")</f>
        <v>1821805292</v>
      </c>
      <c r="E1913" t="s">
        <v>1985</v>
      </c>
      <c r="F1913" t="s">
        <v>13</v>
      </c>
      <c r="G1913" s="20">
        <v>1</v>
      </c>
      <c r="H1913" t="s">
        <v>4357</v>
      </c>
      <c r="I1913" t="s">
        <v>4357</v>
      </c>
      <c r="J1913" s="9"/>
      <c r="K1913" s="9"/>
      <c r="L1913" s="9"/>
    </row>
    <row r="1914" spans="2:12" ht="15" x14ac:dyDescent="0.25">
      <c r="B1914" t="s">
        <v>1913</v>
      </c>
      <c r="C1914" t="s">
        <v>1914</v>
      </c>
      <c r="D1914" t="str">
        <f>HYPERLINK("https://rhld.insurance.arkansas.gov/NPILookup?Npi=1821811878","1821811878")</f>
        <v>1821811878</v>
      </c>
      <c r="E1914" t="s">
        <v>1986</v>
      </c>
      <c r="F1914" t="s">
        <v>13</v>
      </c>
      <c r="G1914" s="20">
        <v>1</v>
      </c>
      <c r="H1914" t="s">
        <v>4357</v>
      </c>
      <c r="I1914" t="s">
        <v>4357</v>
      </c>
      <c r="J1914" s="9"/>
      <c r="K1914" s="9"/>
      <c r="L1914" s="9"/>
    </row>
    <row r="1915" spans="2:12" ht="15" x14ac:dyDescent="0.25">
      <c r="B1915" t="s">
        <v>1913</v>
      </c>
      <c r="C1915" s="21" t="s">
        <v>1914</v>
      </c>
      <c r="D1915" s="21" t="str">
        <f>HYPERLINK("https://rhld.insurance.arkansas.gov/NPILookup?Npi=1851010102","1851010102")</f>
        <v>1851010102</v>
      </c>
      <c r="E1915" s="21" t="s">
        <v>1987</v>
      </c>
      <c r="F1915" s="21" t="s">
        <v>12</v>
      </c>
      <c r="G1915" s="22">
        <v>1</v>
      </c>
      <c r="H1915" s="21" t="s">
        <v>4338</v>
      </c>
      <c r="I1915" s="21" t="s">
        <v>32</v>
      </c>
      <c r="J1915" s="9"/>
      <c r="K1915" s="9"/>
      <c r="L1915" s="9"/>
    </row>
    <row r="1916" spans="2:12" ht="15" x14ac:dyDescent="0.25">
      <c r="B1916" t="s">
        <v>1913</v>
      </c>
      <c r="C1916" t="s">
        <v>1914</v>
      </c>
      <c r="D1916" t="str">
        <f>HYPERLINK("https://rhld.insurance.arkansas.gov/NPILookup?Npi=1851721690","1851721690")</f>
        <v>1851721690</v>
      </c>
      <c r="E1916" t="s">
        <v>1988</v>
      </c>
      <c r="F1916" t="s">
        <v>13</v>
      </c>
      <c r="G1916" s="20">
        <v>1</v>
      </c>
      <c r="H1916" t="s">
        <v>4357</v>
      </c>
      <c r="I1916" t="s">
        <v>4357</v>
      </c>
      <c r="J1916" s="9"/>
      <c r="K1916" s="9"/>
      <c r="L1916" s="9"/>
    </row>
    <row r="1917" spans="2:12" ht="15" x14ac:dyDescent="0.25">
      <c r="B1917" t="s">
        <v>1913</v>
      </c>
      <c r="C1917" t="s">
        <v>1914</v>
      </c>
      <c r="D1917" t="str">
        <f>HYPERLINK("https://rhld.insurance.arkansas.gov/NPILookup?Npi=1871047837","1871047837")</f>
        <v>1871047837</v>
      </c>
      <c r="E1917" t="s">
        <v>1989</v>
      </c>
      <c r="F1917" t="s">
        <v>13</v>
      </c>
      <c r="G1917" s="20">
        <v>1</v>
      </c>
      <c r="H1917" t="s">
        <v>4357</v>
      </c>
      <c r="I1917" t="s">
        <v>4357</v>
      </c>
      <c r="J1917" s="9"/>
      <c r="K1917" s="23"/>
      <c r="L1917" s="9"/>
    </row>
    <row r="1918" spans="2:12" ht="15" x14ac:dyDescent="0.25">
      <c r="B1918" t="s">
        <v>1913</v>
      </c>
      <c r="C1918" t="s">
        <v>1914</v>
      </c>
      <c r="D1918" t="str">
        <f>HYPERLINK("https://rhld.insurance.arkansas.gov/NPILookup?Npi=1881483196","1881483196")</f>
        <v>1881483196</v>
      </c>
      <c r="E1918" t="s">
        <v>1990</v>
      </c>
      <c r="F1918" t="s">
        <v>13</v>
      </c>
      <c r="G1918" s="20">
        <v>1</v>
      </c>
      <c r="H1918" t="s">
        <v>4357</v>
      </c>
      <c r="I1918" t="s">
        <v>4357</v>
      </c>
      <c r="J1918" s="9"/>
      <c r="K1918" s="9"/>
      <c r="L1918" s="9"/>
    </row>
    <row r="1919" spans="2:12" ht="15" x14ac:dyDescent="0.25">
      <c r="B1919" t="s">
        <v>1913</v>
      </c>
      <c r="C1919" t="s">
        <v>1914</v>
      </c>
      <c r="D1919" t="str">
        <f>HYPERLINK("https://rhld.insurance.arkansas.gov/NPILookup?Npi=1891586418","1891586418")</f>
        <v>1891586418</v>
      </c>
      <c r="E1919" t="s">
        <v>1991</v>
      </c>
      <c r="F1919" t="s">
        <v>13</v>
      </c>
      <c r="G1919" s="20">
        <v>1</v>
      </c>
      <c r="H1919" t="s">
        <v>4357</v>
      </c>
      <c r="I1919" t="s">
        <v>4357</v>
      </c>
      <c r="J1919" s="9"/>
      <c r="K1919" s="9"/>
      <c r="L1919" s="9"/>
    </row>
    <row r="1920" spans="2:12" ht="15" x14ac:dyDescent="0.25">
      <c r="B1920" t="s">
        <v>1913</v>
      </c>
      <c r="C1920" t="s">
        <v>1914</v>
      </c>
      <c r="D1920" t="str">
        <f>HYPERLINK("https://rhld.insurance.arkansas.gov/NPILookup?Npi=1912921909","1912921909")</f>
        <v>1912921909</v>
      </c>
      <c r="E1920" t="s">
        <v>1992</v>
      </c>
      <c r="F1920" t="s">
        <v>13</v>
      </c>
      <c r="G1920" s="20">
        <v>1</v>
      </c>
      <c r="H1920" t="s">
        <v>4357</v>
      </c>
      <c r="I1920" t="s">
        <v>4357</v>
      </c>
      <c r="J1920" s="9"/>
      <c r="K1920" s="23"/>
      <c r="L1920" s="9"/>
    </row>
    <row r="1921" spans="2:12" ht="15" x14ac:dyDescent="0.25">
      <c r="B1921" t="s">
        <v>1913</v>
      </c>
      <c r="C1921" s="21" t="s">
        <v>1914</v>
      </c>
      <c r="D1921" s="21" t="str">
        <f>HYPERLINK("https://rhld.insurance.arkansas.gov/NPILookup?Npi=1932893690","1932893690")</f>
        <v>1932893690</v>
      </c>
      <c r="E1921" s="21" t="s">
        <v>1993</v>
      </c>
      <c r="F1921" s="21" t="s">
        <v>12</v>
      </c>
      <c r="G1921" s="22">
        <v>1</v>
      </c>
      <c r="H1921" s="21" t="s">
        <v>4338</v>
      </c>
      <c r="I1921" s="21" t="s">
        <v>32</v>
      </c>
      <c r="J1921" s="9"/>
      <c r="K1921" s="23"/>
      <c r="L1921" s="9"/>
    </row>
    <row r="1922" spans="2:12" ht="15" x14ac:dyDescent="0.25">
      <c r="B1922" t="s">
        <v>1913</v>
      </c>
      <c r="C1922" t="s">
        <v>1914</v>
      </c>
      <c r="D1922" t="str">
        <f>HYPERLINK("https://rhld.insurance.arkansas.gov/NPILookup?Npi=1942864582","1942864582")</f>
        <v>1942864582</v>
      </c>
      <c r="E1922" t="s">
        <v>1994</v>
      </c>
      <c r="F1922" t="s">
        <v>13</v>
      </c>
      <c r="G1922" s="20">
        <v>1</v>
      </c>
      <c r="H1922" t="s">
        <v>4357</v>
      </c>
      <c r="I1922" t="s">
        <v>4357</v>
      </c>
      <c r="J1922" s="9"/>
      <c r="K1922" s="9"/>
      <c r="L1922" s="9"/>
    </row>
    <row r="1923" spans="2:12" ht="15" x14ac:dyDescent="0.25">
      <c r="B1923" t="s">
        <v>1913</v>
      </c>
      <c r="C1923" t="s">
        <v>1914</v>
      </c>
      <c r="D1923" t="str">
        <f>HYPERLINK("https://rhld.insurance.arkansas.gov/NPILookup?Npi=1962184028","1962184028")</f>
        <v>1962184028</v>
      </c>
      <c r="E1923" t="s">
        <v>1995</v>
      </c>
      <c r="F1923" t="s">
        <v>13</v>
      </c>
      <c r="G1923" s="20">
        <v>1</v>
      </c>
      <c r="H1923" t="s">
        <v>4357</v>
      </c>
      <c r="I1923" t="s">
        <v>4357</v>
      </c>
      <c r="J1923" s="9"/>
      <c r="K1923" s="9"/>
      <c r="L1923" s="9"/>
    </row>
    <row r="1924" spans="2:12" ht="15" x14ac:dyDescent="0.25">
      <c r="B1924" t="s">
        <v>1913</v>
      </c>
      <c r="C1924" s="21" t="s">
        <v>1914</v>
      </c>
      <c r="D1924" s="21" t="str">
        <f>HYPERLINK("https://rhld.insurance.arkansas.gov/NPILookup?Npi=1972230381","1972230381")</f>
        <v>1972230381</v>
      </c>
      <c r="E1924" s="21" t="s">
        <v>1996</v>
      </c>
      <c r="F1924" s="21" t="s">
        <v>12</v>
      </c>
      <c r="G1924" s="22">
        <v>1</v>
      </c>
      <c r="H1924" s="21" t="s">
        <v>4338</v>
      </c>
      <c r="I1924" s="21" t="s">
        <v>32</v>
      </c>
      <c r="J1924" s="9"/>
      <c r="K1924" s="9"/>
      <c r="L1924" s="9"/>
    </row>
    <row r="1925" spans="2:12" ht="15" x14ac:dyDescent="0.25">
      <c r="B1925" t="s">
        <v>1913</v>
      </c>
      <c r="C1925" s="21" t="s">
        <v>1914</v>
      </c>
      <c r="D1925" s="21" t="str">
        <f>HYPERLINK("https://rhld.insurance.arkansas.gov/NPILookup?Npi=1982041182","1982041182")</f>
        <v>1982041182</v>
      </c>
      <c r="E1925" s="21" t="s">
        <v>1997</v>
      </c>
      <c r="F1925" s="21" t="s">
        <v>12</v>
      </c>
      <c r="G1925" s="22">
        <v>1</v>
      </c>
      <c r="H1925" s="21" t="s">
        <v>4338</v>
      </c>
      <c r="I1925" s="21" t="s">
        <v>32</v>
      </c>
      <c r="J1925" s="9"/>
      <c r="K1925" s="9"/>
      <c r="L1925" s="9"/>
    </row>
    <row r="1926" spans="2:12" ht="15" x14ac:dyDescent="0.25">
      <c r="B1926" t="s">
        <v>1998</v>
      </c>
      <c r="C1926" t="s">
        <v>1999</v>
      </c>
      <c r="D1926" t="str">
        <f>HYPERLINK("https://rhld.insurance.arkansas.gov/NPILookup?Npi=1003430026","1003430026")</f>
        <v>1003430026</v>
      </c>
      <c r="E1926" t="s">
        <v>2000</v>
      </c>
      <c r="F1926" t="s">
        <v>13</v>
      </c>
      <c r="G1926" s="20">
        <v>1</v>
      </c>
      <c r="H1926" t="s">
        <v>87</v>
      </c>
      <c r="I1926" t="s">
        <v>4357</v>
      </c>
      <c r="J1926" s="9"/>
      <c r="K1926" s="9"/>
      <c r="L1926" s="9"/>
    </row>
    <row r="1927" spans="2:12" ht="15" x14ac:dyDescent="0.25">
      <c r="B1927" t="s">
        <v>1998</v>
      </c>
      <c r="C1927" s="21" t="s">
        <v>1999</v>
      </c>
      <c r="D1927" s="21" t="str">
        <f>HYPERLINK("https://rhld.insurance.arkansas.gov/NPILookup?Npi=1003812462","1003812462")</f>
        <v>1003812462</v>
      </c>
      <c r="E1927" s="21" t="s">
        <v>2001</v>
      </c>
      <c r="F1927" s="21" t="s">
        <v>12</v>
      </c>
      <c r="G1927" s="22">
        <v>1</v>
      </c>
      <c r="H1927" s="21" t="s">
        <v>4338</v>
      </c>
      <c r="I1927" s="21" t="s">
        <v>32</v>
      </c>
      <c r="J1927" s="9"/>
      <c r="K1927" s="9"/>
      <c r="L1927" s="9"/>
    </row>
    <row r="1928" spans="2:12" ht="15" x14ac:dyDescent="0.25">
      <c r="B1928" t="s">
        <v>1998</v>
      </c>
      <c r="C1928" t="s">
        <v>1999</v>
      </c>
      <c r="D1928" t="str">
        <f>HYPERLINK("https://rhld.insurance.arkansas.gov/NPILookup?Npi=1013952365","1013952365")</f>
        <v>1013952365</v>
      </c>
      <c r="E1928" t="s">
        <v>2002</v>
      </c>
      <c r="F1928" t="s">
        <v>13</v>
      </c>
      <c r="G1928" s="20">
        <v>1</v>
      </c>
      <c r="H1928" t="s">
        <v>87</v>
      </c>
      <c r="I1928" t="s">
        <v>4357</v>
      </c>
      <c r="J1928" s="9"/>
      <c r="K1928" s="9"/>
      <c r="L1928" s="9"/>
    </row>
    <row r="1929" spans="2:12" ht="15" x14ac:dyDescent="0.25">
      <c r="B1929" t="s">
        <v>1998</v>
      </c>
      <c r="C1929" t="s">
        <v>1999</v>
      </c>
      <c r="D1929" t="str">
        <f>HYPERLINK("https://rhld.insurance.arkansas.gov/NPILookup?Npi=1043455561","1043455561")</f>
        <v>1043455561</v>
      </c>
      <c r="E1929" t="s">
        <v>2003</v>
      </c>
      <c r="F1929" t="s">
        <v>13</v>
      </c>
      <c r="G1929" s="20">
        <v>1</v>
      </c>
      <c r="H1929" t="s">
        <v>87</v>
      </c>
      <c r="I1929" t="s">
        <v>4357</v>
      </c>
      <c r="J1929" s="9"/>
      <c r="K1929" s="9"/>
      <c r="L1929" s="9"/>
    </row>
    <row r="1930" spans="2:12" ht="15" x14ac:dyDescent="0.25">
      <c r="B1930" t="s">
        <v>1998</v>
      </c>
      <c r="C1930" t="s">
        <v>1999</v>
      </c>
      <c r="D1930" t="str">
        <f>HYPERLINK("https://rhld.insurance.arkansas.gov/NPILookup?Npi=1043787070","1043787070")</f>
        <v>1043787070</v>
      </c>
      <c r="E1930" t="s">
        <v>2004</v>
      </c>
      <c r="F1930" t="s">
        <v>13</v>
      </c>
      <c r="G1930" s="20">
        <v>1</v>
      </c>
      <c r="H1930" t="s">
        <v>87</v>
      </c>
      <c r="I1930" t="s">
        <v>4357</v>
      </c>
      <c r="J1930" s="9"/>
      <c r="K1930" s="9"/>
      <c r="L1930" s="9"/>
    </row>
    <row r="1931" spans="2:12" ht="15" x14ac:dyDescent="0.25">
      <c r="B1931" t="s">
        <v>1998</v>
      </c>
      <c r="C1931" t="s">
        <v>1999</v>
      </c>
      <c r="D1931" t="str">
        <f>HYPERLINK("https://rhld.insurance.arkansas.gov/NPILookup?Npi=1093573032","1093573032")</f>
        <v>1093573032</v>
      </c>
      <c r="E1931" t="s">
        <v>2005</v>
      </c>
      <c r="F1931" t="s">
        <v>13</v>
      </c>
      <c r="G1931" s="20">
        <v>1</v>
      </c>
      <c r="H1931" t="s">
        <v>87</v>
      </c>
      <c r="I1931" t="s">
        <v>32</v>
      </c>
      <c r="J1931" s="9"/>
      <c r="K1931" s="9"/>
      <c r="L1931" s="9"/>
    </row>
    <row r="1932" spans="2:12" ht="15" x14ac:dyDescent="0.25">
      <c r="B1932" t="s">
        <v>1998</v>
      </c>
      <c r="C1932" t="s">
        <v>1999</v>
      </c>
      <c r="D1932" t="str">
        <f>HYPERLINK("https://rhld.insurance.arkansas.gov/NPILookup?Npi=1104811157","1104811157")</f>
        <v>1104811157</v>
      </c>
      <c r="E1932" t="s">
        <v>2006</v>
      </c>
      <c r="F1932" t="s">
        <v>13</v>
      </c>
      <c r="G1932" s="20">
        <v>1</v>
      </c>
      <c r="H1932" t="s">
        <v>87</v>
      </c>
      <c r="I1932" t="s">
        <v>4357</v>
      </c>
      <c r="J1932" s="9"/>
      <c r="K1932" s="9"/>
      <c r="L1932" s="9"/>
    </row>
    <row r="1933" spans="2:12" ht="15" x14ac:dyDescent="0.25">
      <c r="B1933" t="s">
        <v>1998</v>
      </c>
      <c r="C1933" t="s">
        <v>1999</v>
      </c>
      <c r="D1933" t="str">
        <f>HYPERLINK("https://rhld.insurance.arkansas.gov/NPILookup?Npi=1114989233","1114989233")</f>
        <v>1114989233</v>
      </c>
      <c r="E1933" t="s">
        <v>2007</v>
      </c>
      <c r="F1933" t="s">
        <v>13</v>
      </c>
      <c r="G1933" s="20">
        <v>1</v>
      </c>
      <c r="H1933" t="s">
        <v>87</v>
      </c>
      <c r="I1933" t="s">
        <v>4357</v>
      </c>
      <c r="J1933" s="9"/>
      <c r="K1933" s="9"/>
      <c r="L1933" s="9"/>
    </row>
    <row r="1934" spans="2:12" ht="15" x14ac:dyDescent="0.25">
      <c r="B1934" t="s">
        <v>1998</v>
      </c>
      <c r="C1934" s="21" t="s">
        <v>1999</v>
      </c>
      <c r="D1934" s="21" t="str">
        <f>HYPERLINK("https://rhld.insurance.arkansas.gov/NPILookup?Npi=1124012000","1124012000")</f>
        <v>1124012000</v>
      </c>
      <c r="E1934" s="21" t="s">
        <v>2008</v>
      </c>
      <c r="F1934" s="21" t="s">
        <v>12</v>
      </c>
      <c r="G1934" s="22">
        <v>1</v>
      </c>
      <c r="H1934" s="21" t="s">
        <v>4338</v>
      </c>
      <c r="I1934" s="21" t="s">
        <v>32</v>
      </c>
      <c r="J1934" s="9"/>
      <c r="K1934" s="9"/>
      <c r="L1934" s="9"/>
    </row>
    <row r="1935" spans="2:12" ht="15" x14ac:dyDescent="0.25">
      <c r="B1935" t="s">
        <v>1998</v>
      </c>
      <c r="C1935" t="s">
        <v>1999</v>
      </c>
      <c r="D1935" t="str">
        <f>HYPERLINK("https://rhld.insurance.arkansas.gov/NPILookup?Npi=1184003261","1184003261")</f>
        <v>1184003261</v>
      </c>
      <c r="E1935" t="s">
        <v>2009</v>
      </c>
      <c r="F1935" t="s">
        <v>13</v>
      </c>
      <c r="G1935" s="20">
        <v>1</v>
      </c>
      <c r="H1935" t="s">
        <v>87</v>
      </c>
      <c r="I1935" t="s">
        <v>32</v>
      </c>
      <c r="J1935" s="9"/>
      <c r="K1935" s="9"/>
      <c r="L1935" s="9"/>
    </row>
    <row r="1936" spans="2:12" ht="15" x14ac:dyDescent="0.25">
      <c r="B1936" t="s">
        <v>1998</v>
      </c>
      <c r="C1936" s="21" t="s">
        <v>1999</v>
      </c>
      <c r="D1936" s="21" t="str">
        <f>HYPERLINK("https://rhld.insurance.arkansas.gov/NPILookup?Npi=1235320417","1235320417")</f>
        <v>1235320417</v>
      </c>
      <c r="E1936" s="21" t="s">
        <v>2010</v>
      </c>
      <c r="F1936" s="21" t="s">
        <v>12</v>
      </c>
      <c r="G1936" s="22">
        <v>1</v>
      </c>
      <c r="H1936" s="21" t="s">
        <v>4338</v>
      </c>
      <c r="I1936" s="21" t="s">
        <v>32</v>
      </c>
      <c r="J1936" s="9"/>
      <c r="K1936" s="9"/>
      <c r="L1936" s="9"/>
    </row>
    <row r="1937" spans="2:12" ht="15" x14ac:dyDescent="0.25">
      <c r="B1937" t="s">
        <v>1998</v>
      </c>
      <c r="C1937" t="s">
        <v>1999</v>
      </c>
      <c r="D1937" t="str">
        <f>HYPERLINK("https://rhld.insurance.arkansas.gov/NPILookup?Npi=1245621093","1245621093")</f>
        <v>1245621093</v>
      </c>
      <c r="E1937" t="s">
        <v>2011</v>
      </c>
      <c r="F1937" t="s">
        <v>13</v>
      </c>
      <c r="G1937" s="20">
        <v>1</v>
      </c>
      <c r="H1937" t="s">
        <v>87</v>
      </c>
      <c r="I1937" t="s">
        <v>32</v>
      </c>
      <c r="J1937" s="9"/>
      <c r="K1937" s="9"/>
      <c r="L1937" s="9"/>
    </row>
    <row r="1938" spans="2:12" ht="15" x14ac:dyDescent="0.25">
      <c r="B1938" t="s">
        <v>1998</v>
      </c>
      <c r="C1938" s="21" t="s">
        <v>1999</v>
      </c>
      <c r="D1938" s="21" t="str">
        <f>HYPERLINK("https://rhld.insurance.arkansas.gov/NPILookup?Npi=1306804273","1306804273")</f>
        <v>1306804273</v>
      </c>
      <c r="E1938" s="21" t="s">
        <v>2012</v>
      </c>
      <c r="F1938" s="21" t="s">
        <v>12</v>
      </c>
      <c r="G1938" s="22">
        <v>1</v>
      </c>
      <c r="H1938" s="21" t="s">
        <v>4338</v>
      </c>
      <c r="I1938" s="21" t="s">
        <v>4357</v>
      </c>
      <c r="J1938" s="9"/>
      <c r="K1938" s="9"/>
      <c r="L1938" s="9"/>
    </row>
    <row r="1939" spans="2:12" ht="15" x14ac:dyDescent="0.25">
      <c r="B1939" t="s">
        <v>1998</v>
      </c>
      <c r="C1939" t="s">
        <v>1999</v>
      </c>
      <c r="D1939" t="str">
        <f>HYPERLINK("https://rhld.insurance.arkansas.gov/NPILookup?Npi=1306830575","1306830575")</f>
        <v>1306830575</v>
      </c>
      <c r="E1939" t="s">
        <v>2013</v>
      </c>
      <c r="F1939" t="s">
        <v>13</v>
      </c>
      <c r="G1939" s="20">
        <v>1</v>
      </c>
      <c r="H1939" t="s">
        <v>87</v>
      </c>
      <c r="I1939" t="s">
        <v>32</v>
      </c>
      <c r="J1939" s="9"/>
      <c r="K1939" s="9"/>
      <c r="L1939" s="9"/>
    </row>
    <row r="1940" spans="2:12" ht="15" x14ac:dyDescent="0.25">
      <c r="B1940" t="s">
        <v>1998</v>
      </c>
      <c r="C1940" s="21" t="s">
        <v>1999</v>
      </c>
      <c r="D1940" s="21" t="str">
        <f>HYPERLINK("https://rhld.insurance.arkansas.gov/NPILookup?Npi=1306855754","1306855754")</f>
        <v>1306855754</v>
      </c>
      <c r="E1940" s="21" t="s">
        <v>2014</v>
      </c>
      <c r="F1940" s="21" t="s">
        <v>12</v>
      </c>
      <c r="G1940" s="22">
        <v>2</v>
      </c>
      <c r="H1940" s="21" t="s">
        <v>4346</v>
      </c>
      <c r="I1940" s="21" t="s">
        <v>32</v>
      </c>
      <c r="J1940" s="9"/>
      <c r="K1940" s="9"/>
      <c r="L1940" s="9"/>
    </row>
    <row r="1941" spans="2:12" ht="15" x14ac:dyDescent="0.25">
      <c r="B1941" t="s">
        <v>1998</v>
      </c>
      <c r="C1941" s="21" t="s">
        <v>1999</v>
      </c>
      <c r="D1941" s="21" t="str">
        <f>HYPERLINK("https://rhld.insurance.arkansas.gov/NPILookup?Npi=1326345323","1326345323")</f>
        <v>1326345323</v>
      </c>
      <c r="E1941" s="21" t="s">
        <v>2015</v>
      </c>
      <c r="F1941" s="21" t="s">
        <v>12</v>
      </c>
      <c r="G1941" s="22">
        <v>1</v>
      </c>
      <c r="H1941" s="21" t="s">
        <v>4338</v>
      </c>
      <c r="I1941" s="21" t="s">
        <v>32</v>
      </c>
      <c r="J1941" s="9"/>
      <c r="K1941" s="9"/>
      <c r="L1941" s="9"/>
    </row>
    <row r="1942" spans="2:12" ht="15" x14ac:dyDescent="0.25">
      <c r="B1942" t="s">
        <v>1998</v>
      </c>
      <c r="C1942" s="21" t="s">
        <v>1999</v>
      </c>
      <c r="D1942" s="21" t="str">
        <f>HYPERLINK("https://rhld.insurance.arkansas.gov/NPILookup?Npi=1336584630","1336584630")</f>
        <v>1336584630</v>
      </c>
      <c r="E1942" s="21" t="s">
        <v>962</v>
      </c>
      <c r="F1942" s="21" t="s">
        <v>12</v>
      </c>
      <c r="G1942" s="22">
        <v>1</v>
      </c>
      <c r="H1942" s="21" t="s">
        <v>4338</v>
      </c>
      <c r="I1942" s="21" t="s">
        <v>32</v>
      </c>
      <c r="J1942" s="9"/>
      <c r="K1942" s="9"/>
      <c r="L1942" s="9"/>
    </row>
    <row r="1943" spans="2:12" ht="15" x14ac:dyDescent="0.25">
      <c r="B1943" t="s">
        <v>1998</v>
      </c>
      <c r="C1943" s="21" t="s">
        <v>1999</v>
      </c>
      <c r="D1943" s="21" t="str">
        <f>HYPERLINK("https://rhld.insurance.arkansas.gov/NPILookup?Npi=1346203395","1346203395")</f>
        <v>1346203395</v>
      </c>
      <c r="E1943" s="21" t="s">
        <v>2016</v>
      </c>
      <c r="F1943" s="21" t="s">
        <v>12</v>
      </c>
      <c r="G1943" s="22">
        <v>2</v>
      </c>
      <c r="H1943" s="21" t="s">
        <v>4347</v>
      </c>
      <c r="I1943" s="21" t="s">
        <v>32</v>
      </c>
      <c r="J1943" s="9"/>
      <c r="K1943" s="9"/>
      <c r="L1943" s="9"/>
    </row>
    <row r="1944" spans="2:12" ht="15" x14ac:dyDescent="0.25">
      <c r="B1944" t="s">
        <v>1998</v>
      </c>
      <c r="C1944" s="21" t="s">
        <v>1999</v>
      </c>
      <c r="D1944" s="21" t="str">
        <f>HYPERLINK("https://rhld.insurance.arkansas.gov/NPILookup?Npi=1356561344","1356561344")</f>
        <v>1356561344</v>
      </c>
      <c r="E1944" s="21" t="s">
        <v>2017</v>
      </c>
      <c r="F1944" s="21" t="s">
        <v>12</v>
      </c>
      <c r="G1944" s="22">
        <v>1</v>
      </c>
      <c r="H1944" s="21" t="s">
        <v>4338</v>
      </c>
      <c r="I1944" s="21" t="s">
        <v>32</v>
      </c>
      <c r="J1944" s="9"/>
      <c r="K1944" s="9"/>
      <c r="L1944" s="9"/>
    </row>
    <row r="1945" spans="2:12" ht="15" x14ac:dyDescent="0.25">
      <c r="B1945" t="s">
        <v>1998</v>
      </c>
      <c r="C1945" s="21" t="s">
        <v>1999</v>
      </c>
      <c r="D1945" s="21" t="str">
        <f>HYPERLINK("https://rhld.insurance.arkansas.gov/NPILookup?Npi=1356701486","1356701486")</f>
        <v>1356701486</v>
      </c>
      <c r="E1945" s="21" t="s">
        <v>2018</v>
      </c>
      <c r="F1945" s="21" t="s">
        <v>12</v>
      </c>
      <c r="G1945" s="22">
        <v>2</v>
      </c>
      <c r="H1945" s="21" t="s">
        <v>4347</v>
      </c>
      <c r="I1945" s="21" t="s">
        <v>32</v>
      </c>
      <c r="J1945" s="9"/>
      <c r="K1945" s="9"/>
      <c r="L1945" s="9"/>
    </row>
    <row r="1946" spans="2:12" ht="15" x14ac:dyDescent="0.25">
      <c r="B1946" t="s">
        <v>1998</v>
      </c>
      <c r="C1946" s="21" t="s">
        <v>1999</v>
      </c>
      <c r="D1946" s="21" t="str">
        <f>HYPERLINK("https://rhld.insurance.arkansas.gov/NPILookup?Npi=1376953737","1376953737")</f>
        <v>1376953737</v>
      </c>
      <c r="E1946" s="21" t="s">
        <v>2019</v>
      </c>
      <c r="F1946" s="21" t="s">
        <v>12</v>
      </c>
      <c r="G1946" s="22">
        <v>1</v>
      </c>
      <c r="H1946" s="21" t="s">
        <v>4338</v>
      </c>
      <c r="I1946" s="21" t="s">
        <v>32</v>
      </c>
      <c r="J1946" s="9"/>
      <c r="K1946" s="9"/>
      <c r="L1946" s="9"/>
    </row>
    <row r="1947" spans="2:12" ht="15" x14ac:dyDescent="0.25">
      <c r="B1947" t="s">
        <v>1998</v>
      </c>
      <c r="C1947" t="s">
        <v>1999</v>
      </c>
      <c r="D1947" t="str">
        <f>HYPERLINK("https://rhld.insurance.arkansas.gov/NPILookup?Npi=1396272894","1396272894")</f>
        <v>1396272894</v>
      </c>
      <c r="E1947" t="s">
        <v>2020</v>
      </c>
      <c r="F1947" t="s">
        <v>13</v>
      </c>
      <c r="G1947" s="20">
        <v>1</v>
      </c>
      <c r="H1947" t="s">
        <v>87</v>
      </c>
      <c r="I1947" t="s">
        <v>32</v>
      </c>
      <c r="J1947" s="9"/>
      <c r="K1947" s="9"/>
      <c r="L1947" s="9"/>
    </row>
    <row r="1948" spans="2:12" ht="15" x14ac:dyDescent="0.25">
      <c r="B1948" t="s">
        <v>1998</v>
      </c>
      <c r="C1948" s="21" t="s">
        <v>1999</v>
      </c>
      <c r="D1948" s="21" t="str">
        <f>HYPERLINK("https://rhld.insurance.arkansas.gov/NPILookup?Npi=1407869399","1407869399")</f>
        <v>1407869399</v>
      </c>
      <c r="E1948" s="21" t="s">
        <v>2021</v>
      </c>
      <c r="F1948" s="21" t="s">
        <v>12</v>
      </c>
      <c r="G1948" s="22">
        <v>1</v>
      </c>
      <c r="H1948" s="21" t="s">
        <v>4338</v>
      </c>
      <c r="I1948" s="21" t="s">
        <v>32</v>
      </c>
      <c r="J1948" s="9"/>
      <c r="K1948" s="9"/>
      <c r="L1948" s="9"/>
    </row>
    <row r="1949" spans="2:12" ht="15" x14ac:dyDescent="0.25">
      <c r="B1949" t="s">
        <v>1998</v>
      </c>
      <c r="C1949" s="21" t="s">
        <v>1999</v>
      </c>
      <c r="D1949" s="21" t="str">
        <f>HYPERLINK("https://rhld.insurance.arkansas.gov/NPILookup?Npi=1417394404","1417394404")</f>
        <v>1417394404</v>
      </c>
      <c r="E1949" s="21" t="s">
        <v>2022</v>
      </c>
      <c r="F1949" s="21" t="s">
        <v>12</v>
      </c>
      <c r="G1949" s="22">
        <v>1</v>
      </c>
      <c r="H1949" s="21" t="s">
        <v>4338</v>
      </c>
      <c r="I1949" s="21" t="s">
        <v>32</v>
      </c>
      <c r="J1949" s="9"/>
      <c r="K1949" s="9"/>
      <c r="L1949" s="9"/>
    </row>
    <row r="1950" spans="2:12" ht="15" x14ac:dyDescent="0.25">
      <c r="B1950" t="s">
        <v>1998</v>
      </c>
      <c r="C1950" s="21" t="s">
        <v>1999</v>
      </c>
      <c r="D1950" s="21" t="str">
        <f>HYPERLINK("https://rhld.insurance.arkansas.gov/NPILookup?Npi=1417452376","1417452376")</f>
        <v>1417452376</v>
      </c>
      <c r="E1950" s="21" t="s">
        <v>2023</v>
      </c>
      <c r="F1950" s="21" t="s">
        <v>12</v>
      </c>
      <c r="G1950" s="22">
        <v>1</v>
      </c>
      <c r="H1950" s="21" t="s">
        <v>4338</v>
      </c>
      <c r="I1950" s="21" t="s">
        <v>32</v>
      </c>
      <c r="J1950" s="9"/>
      <c r="K1950" s="9"/>
      <c r="L1950" s="9"/>
    </row>
    <row r="1951" spans="2:12" ht="15" x14ac:dyDescent="0.25">
      <c r="B1951" t="s">
        <v>1998</v>
      </c>
      <c r="C1951" s="21" t="s">
        <v>1999</v>
      </c>
      <c r="D1951" s="21" t="str">
        <f>HYPERLINK("https://rhld.insurance.arkansas.gov/NPILookup?Npi=1437590080","1437590080")</f>
        <v>1437590080</v>
      </c>
      <c r="E1951" s="21" t="s">
        <v>1415</v>
      </c>
      <c r="F1951" s="21" t="s">
        <v>12</v>
      </c>
      <c r="G1951" s="22">
        <v>1</v>
      </c>
      <c r="H1951" s="21" t="s">
        <v>4338</v>
      </c>
      <c r="I1951" s="21" t="s">
        <v>32</v>
      </c>
      <c r="J1951" s="9"/>
      <c r="K1951" s="9"/>
      <c r="L1951" s="9"/>
    </row>
    <row r="1952" spans="2:12" ht="15" x14ac:dyDescent="0.25">
      <c r="B1952" t="s">
        <v>1998</v>
      </c>
      <c r="C1952" s="21" t="s">
        <v>1999</v>
      </c>
      <c r="D1952" s="21" t="str">
        <f>HYPERLINK("https://rhld.insurance.arkansas.gov/NPILookup?Npi=1487829420","1487829420")</f>
        <v>1487829420</v>
      </c>
      <c r="E1952" s="21" t="s">
        <v>261</v>
      </c>
      <c r="F1952" s="21" t="s">
        <v>12</v>
      </c>
      <c r="G1952" s="22">
        <v>1</v>
      </c>
      <c r="H1952" s="21" t="s">
        <v>4338</v>
      </c>
      <c r="I1952" s="21" t="s">
        <v>32</v>
      </c>
      <c r="J1952" s="9"/>
      <c r="K1952" s="9"/>
      <c r="L1952" s="9"/>
    </row>
    <row r="1953" spans="2:12" ht="15" x14ac:dyDescent="0.25">
      <c r="B1953" t="s">
        <v>1998</v>
      </c>
      <c r="C1953" s="21" t="s">
        <v>1999</v>
      </c>
      <c r="D1953" s="21" t="str">
        <f>HYPERLINK("https://rhld.insurance.arkansas.gov/NPILookup?Npi=1528278322","1528278322")</f>
        <v>1528278322</v>
      </c>
      <c r="E1953" s="21" t="s">
        <v>1059</v>
      </c>
      <c r="F1953" s="21" t="s">
        <v>12</v>
      </c>
      <c r="G1953" s="22">
        <v>1</v>
      </c>
      <c r="H1953" s="21" t="s">
        <v>4338</v>
      </c>
      <c r="I1953" s="21" t="s">
        <v>32</v>
      </c>
      <c r="J1953" s="9"/>
      <c r="K1953" s="9"/>
      <c r="L1953" s="9"/>
    </row>
    <row r="1954" spans="2:12" ht="15" x14ac:dyDescent="0.25">
      <c r="B1954" t="s">
        <v>1998</v>
      </c>
      <c r="C1954" t="s">
        <v>1999</v>
      </c>
      <c r="D1954" t="str">
        <f>HYPERLINK("https://rhld.insurance.arkansas.gov/NPILookup?Npi=1538377791","1538377791")</f>
        <v>1538377791</v>
      </c>
      <c r="E1954" t="s">
        <v>2024</v>
      </c>
      <c r="F1954" t="s">
        <v>13</v>
      </c>
      <c r="G1954" s="20">
        <v>1</v>
      </c>
      <c r="H1954" t="s">
        <v>87</v>
      </c>
      <c r="I1954" t="s">
        <v>4357</v>
      </c>
      <c r="J1954" s="9"/>
      <c r="K1954" s="9"/>
      <c r="L1954" s="9"/>
    </row>
    <row r="1955" spans="2:12" ht="15" x14ac:dyDescent="0.25">
      <c r="B1955" t="s">
        <v>1998</v>
      </c>
      <c r="C1955" s="21" t="s">
        <v>1999</v>
      </c>
      <c r="D1955" s="21" t="str">
        <f>HYPERLINK("https://rhld.insurance.arkansas.gov/NPILookup?Npi=1558335299","1558335299")</f>
        <v>1558335299</v>
      </c>
      <c r="E1955" s="21" t="s">
        <v>2025</v>
      </c>
      <c r="F1955" s="21" t="s">
        <v>12</v>
      </c>
      <c r="G1955" s="22">
        <v>3</v>
      </c>
      <c r="H1955" s="21" t="s">
        <v>4348</v>
      </c>
      <c r="I1955" s="21" t="s">
        <v>32</v>
      </c>
      <c r="J1955" s="9"/>
      <c r="K1955" s="9"/>
      <c r="L1955" s="9"/>
    </row>
    <row r="1956" spans="2:12" ht="15" x14ac:dyDescent="0.25">
      <c r="B1956" t="s">
        <v>1998</v>
      </c>
      <c r="C1956" t="s">
        <v>1999</v>
      </c>
      <c r="D1956" t="str">
        <f>HYPERLINK("https://rhld.insurance.arkansas.gov/NPILookup?Npi=1558752535","1558752535")</f>
        <v>1558752535</v>
      </c>
      <c r="E1956" t="s">
        <v>2026</v>
      </c>
      <c r="F1956" t="s">
        <v>13</v>
      </c>
      <c r="G1956" s="20">
        <v>1</v>
      </c>
      <c r="H1956" t="s">
        <v>87</v>
      </c>
      <c r="I1956" t="s">
        <v>32</v>
      </c>
      <c r="J1956" s="9"/>
      <c r="K1956" s="9"/>
      <c r="L1956" s="9"/>
    </row>
    <row r="1957" spans="2:12" ht="15" x14ac:dyDescent="0.25">
      <c r="B1957" t="s">
        <v>1998</v>
      </c>
      <c r="C1957" s="21" t="s">
        <v>1999</v>
      </c>
      <c r="D1957" s="21" t="str">
        <f>HYPERLINK("https://rhld.insurance.arkansas.gov/NPILookup?Npi=1578768644","1578768644")</f>
        <v>1578768644</v>
      </c>
      <c r="E1957" s="21" t="s">
        <v>706</v>
      </c>
      <c r="F1957" s="21" t="s">
        <v>12</v>
      </c>
      <c r="G1957" s="22">
        <v>1</v>
      </c>
      <c r="H1957" s="21" t="s">
        <v>4338</v>
      </c>
      <c r="I1957" s="21" t="s">
        <v>32</v>
      </c>
      <c r="J1957" s="9"/>
      <c r="K1957" s="9"/>
      <c r="L1957" s="9"/>
    </row>
    <row r="1958" spans="2:12" ht="15" x14ac:dyDescent="0.25">
      <c r="B1958" t="s">
        <v>1998</v>
      </c>
      <c r="C1958" t="s">
        <v>1999</v>
      </c>
      <c r="D1958" t="str">
        <f>HYPERLINK("https://rhld.insurance.arkansas.gov/NPILookup?Npi=1598244394","1598244394")</f>
        <v>1598244394</v>
      </c>
      <c r="E1958" t="s">
        <v>2027</v>
      </c>
      <c r="F1958" t="s">
        <v>13</v>
      </c>
      <c r="G1958" s="20">
        <v>1</v>
      </c>
      <c r="H1958" t="s">
        <v>87</v>
      </c>
      <c r="I1958" t="s">
        <v>32</v>
      </c>
      <c r="J1958" s="9"/>
      <c r="K1958" s="9"/>
      <c r="L1958" s="9"/>
    </row>
    <row r="1959" spans="2:12" ht="15" x14ac:dyDescent="0.25">
      <c r="B1959" t="s">
        <v>1998</v>
      </c>
      <c r="C1959" s="21" t="s">
        <v>1999</v>
      </c>
      <c r="D1959" s="21" t="str">
        <f>HYPERLINK("https://rhld.insurance.arkansas.gov/NPILookup?Npi=1639498934","1639498934")</f>
        <v>1639498934</v>
      </c>
      <c r="E1959" s="21" t="s">
        <v>2028</v>
      </c>
      <c r="F1959" s="21" t="s">
        <v>12</v>
      </c>
      <c r="G1959" s="22">
        <v>1</v>
      </c>
      <c r="H1959" s="21" t="s">
        <v>4338</v>
      </c>
      <c r="I1959" s="21" t="s">
        <v>32</v>
      </c>
      <c r="J1959" s="9"/>
      <c r="K1959" s="9"/>
      <c r="L1959" s="9"/>
    </row>
    <row r="1960" spans="2:12" ht="15" x14ac:dyDescent="0.25">
      <c r="B1960" t="s">
        <v>1998</v>
      </c>
      <c r="C1960" t="s">
        <v>1999</v>
      </c>
      <c r="D1960" t="str">
        <f>HYPERLINK("https://rhld.insurance.arkansas.gov/NPILookup?Npi=1639967649","1639967649")</f>
        <v>1639967649</v>
      </c>
      <c r="E1960" t="s">
        <v>2029</v>
      </c>
      <c r="F1960" t="s">
        <v>13</v>
      </c>
      <c r="G1960" s="20">
        <v>1</v>
      </c>
      <c r="H1960" t="s">
        <v>87</v>
      </c>
      <c r="I1960" t="s">
        <v>4357</v>
      </c>
      <c r="J1960" s="9"/>
      <c r="K1960" s="9"/>
      <c r="L1960" s="9"/>
    </row>
    <row r="1961" spans="2:12" ht="15" x14ac:dyDescent="0.25">
      <c r="B1961" t="s">
        <v>1998</v>
      </c>
      <c r="C1961" s="21" t="s">
        <v>1999</v>
      </c>
      <c r="D1961" s="21" t="str">
        <f>HYPERLINK("https://rhld.insurance.arkansas.gov/NPILookup?Npi=1679788426","1679788426")</f>
        <v>1679788426</v>
      </c>
      <c r="E1961" s="21" t="s">
        <v>2030</v>
      </c>
      <c r="F1961" s="21" t="s">
        <v>12</v>
      </c>
      <c r="G1961" s="22">
        <v>1</v>
      </c>
      <c r="H1961" s="21" t="s">
        <v>4338</v>
      </c>
      <c r="I1961" s="21" t="s">
        <v>32</v>
      </c>
      <c r="J1961" s="9"/>
      <c r="K1961" s="9"/>
      <c r="L1961" s="9"/>
    </row>
    <row r="1962" spans="2:12" ht="15" x14ac:dyDescent="0.25">
      <c r="B1962" t="s">
        <v>1998</v>
      </c>
      <c r="C1962" s="21" t="s">
        <v>1999</v>
      </c>
      <c r="D1962" s="21" t="str">
        <f>HYPERLINK("https://rhld.insurance.arkansas.gov/NPILookup?Npi=1699823948","1699823948")</f>
        <v>1699823948</v>
      </c>
      <c r="E1962" s="21" t="s">
        <v>2031</v>
      </c>
      <c r="F1962" s="21" t="s">
        <v>12</v>
      </c>
      <c r="G1962" s="22">
        <v>1</v>
      </c>
      <c r="H1962" s="21" t="s">
        <v>4338</v>
      </c>
      <c r="I1962" s="21" t="s">
        <v>32</v>
      </c>
      <c r="J1962" s="9"/>
      <c r="K1962" s="9"/>
      <c r="L1962" s="9"/>
    </row>
    <row r="1963" spans="2:12" ht="15" x14ac:dyDescent="0.25">
      <c r="B1963" t="s">
        <v>1998</v>
      </c>
      <c r="C1963" s="21" t="s">
        <v>1999</v>
      </c>
      <c r="D1963" s="21" t="str">
        <f>HYPERLINK("https://rhld.insurance.arkansas.gov/NPILookup?Npi=1700934874","1700934874")</f>
        <v>1700934874</v>
      </c>
      <c r="E1963" s="21" t="s">
        <v>2032</v>
      </c>
      <c r="F1963" s="21" t="s">
        <v>12</v>
      </c>
      <c r="G1963" s="22">
        <v>1</v>
      </c>
      <c r="H1963" s="21" t="s">
        <v>4338</v>
      </c>
      <c r="I1963" s="21" t="s">
        <v>32</v>
      </c>
      <c r="J1963" s="9"/>
      <c r="K1963" s="9"/>
      <c r="L1963" s="9"/>
    </row>
    <row r="1964" spans="2:12" ht="15" x14ac:dyDescent="0.25">
      <c r="B1964" t="s">
        <v>1998</v>
      </c>
      <c r="C1964" t="s">
        <v>1999</v>
      </c>
      <c r="D1964" t="str">
        <f>HYPERLINK("https://rhld.insurance.arkansas.gov/NPILookup?Npi=1740231877","1740231877")</f>
        <v>1740231877</v>
      </c>
      <c r="E1964" t="s">
        <v>2033</v>
      </c>
      <c r="F1964" t="s">
        <v>13</v>
      </c>
      <c r="G1964" s="20">
        <v>1</v>
      </c>
      <c r="H1964" t="s">
        <v>87</v>
      </c>
      <c r="I1964" t="s">
        <v>32</v>
      </c>
      <c r="J1964" s="9"/>
      <c r="K1964" s="9"/>
      <c r="L1964" s="9"/>
    </row>
    <row r="1965" spans="2:12" ht="15" x14ac:dyDescent="0.25">
      <c r="B1965" t="s">
        <v>1998</v>
      </c>
      <c r="C1965" s="21" t="s">
        <v>1999</v>
      </c>
      <c r="D1965" s="21" t="str">
        <f>HYPERLINK("https://rhld.insurance.arkansas.gov/NPILookup?Npi=1750884938","1750884938")</f>
        <v>1750884938</v>
      </c>
      <c r="E1965" s="21" t="s">
        <v>2034</v>
      </c>
      <c r="F1965" s="21" t="s">
        <v>12</v>
      </c>
      <c r="G1965" s="22">
        <v>2</v>
      </c>
      <c r="H1965" s="21" t="s">
        <v>4347</v>
      </c>
      <c r="I1965" s="21" t="s">
        <v>32</v>
      </c>
      <c r="J1965" s="9"/>
      <c r="K1965" s="9"/>
      <c r="L1965" s="9"/>
    </row>
    <row r="1966" spans="2:12" ht="15" x14ac:dyDescent="0.25">
      <c r="B1966" t="s">
        <v>1998</v>
      </c>
      <c r="C1966" s="21" t="s">
        <v>1999</v>
      </c>
      <c r="D1966" s="21" t="str">
        <f>HYPERLINK("https://rhld.insurance.arkansas.gov/NPILookup?Npi=1780118125","1780118125")</f>
        <v>1780118125</v>
      </c>
      <c r="E1966" s="21" t="s">
        <v>2035</v>
      </c>
      <c r="F1966" s="21" t="s">
        <v>12</v>
      </c>
      <c r="G1966" s="22">
        <v>1</v>
      </c>
      <c r="H1966" s="21" t="s">
        <v>4338</v>
      </c>
      <c r="I1966" s="21" t="s">
        <v>32</v>
      </c>
      <c r="J1966" s="9"/>
      <c r="K1966" s="9"/>
      <c r="L1966" s="9"/>
    </row>
    <row r="1967" spans="2:12" ht="15" x14ac:dyDescent="0.25">
      <c r="B1967" t="s">
        <v>1998</v>
      </c>
      <c r="C1967" t="s">
        <v>1999</v>
      </c>
      <c r="D1967" t="str">
        <f>HYPERLINK("https://rhld.insurance.arkansas.gov/NPILookup?Npi=1780141531","1780141531")</f>
        <v>1780141531</v>
      </c>
      <c r="E1967" t="s">
        <v>2036</v>
      </c>
      <c r="F1967" t="s">
        <v>13</v>
      </c>
      <c r="G1967" s="20">
        <v>1</v>
      </c>
      <c r="H1967" t="s">
        <v>87</v>
      </c>
      <c r="I1967" t="s">
        <v>32</v>
      </c>
      <c r="J1967" s="9"/>
      <c r="K1967" s="9"/>
      <c r="L1967" s="9"/>
    </row>
    <row r="1968" spans="2:12" ht="15" x14ac:dyDescent="0.25">
      <c r="B1968" t="s">
        <v>1998</v>
      </c>
      <c r="C1968" s="21" t="s">
        <v>1999</v>
      </c>
      <c r="D1968" s="21" t="str">
        <f>HYPERLINK("https://rhld.insurance.arkansas.gov/NPILookup?Npi=1841451440","1841451440")</f>
        <v>1841451440</v>
      </c>
      <c r="E1968" s="21" t="s">
        <v>2037</v>
      </c>
      <c r="F1968" s="21" t="s">
        <v>12</v>
      </c>
      <c r="G1968" s="22">
        <v>1</v>
      </c>
      <c r="H1968" s="21" t="s">
        <v>4338</v>
      </c>
      <c r="I1968" s="21" t="s">
        <v>32</v>
      </c>
      <c r="J1968" s="9"/>
      <c r="K1968" s="9"/>
      <c r="L1968" s="9"/>
    </row>
    <row r="1969" spans="2:12" ht="15" x14ac:dyDescent="0.25">
      <c r="B1969" t="s">
        <v>1998</v>
      </c>
      <c r="C1969" t="s">
        <v>1999</v>
      </c>
      <c r="D1969" t="str">
        <f>HYPERLINK("https://rhld.insurance.arkansas.gov/NPILookup?Npi=1861631061","1861631061")</f>
        <v>1861631061</v>
      </c>
      <c r="E1969" t="s">
        <v>2038</v>
      </c>
      <c r="F1969" t="s">
        <v>13</v>
      </c>
      <c r="G1969" s="20">
        <v>1</v>
      </c>
      <c r="H1969" t="s">
        <v>87</v>
      </c>
      <c r="I1969" t="s">
        <v>32</v>
      </c>
      <c r="J1969" s="9"/>
      <c r="K1969" s="9"/>
      <c r="L1969" s="9"/>
    </row>
    <row r="1970" spans="2:12" ht="15" x14ac:dyDescent="0.25">
      <c r="B1970" t="s">
        <v>1998</v>
      </c>
      <c r="C1970" s="21" t="s">
        <v>1999</v>
      </c>
      <c r="D1970" s="21" t="str">
        <f>HYPERLINK("https://rhld.insurance.arkansas.gov/NPILookup?Npi=1861697815","1861697815")</f>
        <v>1861697815</v>
      </c>
      <c r="E1970" s="21" t="s">
        <v>1099</v>
      </c>
      <c r="F1970" s="21" t="s">
        <v>12</v>
      </c>
      <c r="G1970" s="22">
        <v>1</v>
      </c>
      <c r="H1970" s="21" t="s">
        <v>2039</v>
      </c>
      <c r="I1970" s="21" t="s">
        <v>32</v>
      </c>
      <c r="J1970" s="9"/>
      <c r="K1970" s="9"/>
      <c r="L1970" s="9"/>
    </row>
    <row r="1971" spans="2:12" ht="15" x14ac:dyDescent="0.25">
      <c r="B1971" t="s">
        <v>1998</v>
      </c>
      <c r="C1971" s="21" t="s">
        <v>1999</v>
      </c>
      <c r="D1971" s="21" t="str">
        <f>HYPERLINK("https://rhld.insurance.arkansas.gov/NPILookup?Npi=1871553958","1871553958")</f>
        <v>1871553958</v>
      </c>
      <c r="E1971" s="21" t="s">
        <v>2040</v>
      </c>
      <c r="F1971" s="21" t="s">
        <v>12</v>
      </c>
      <c r="G1971" s="22">
        <v>1</v>
      </c>
      <c r="H1971" s="21" t="s">
        <v>4338</v>
      </c>
      <c r="I1971" s="21" t="s">
        <v>32</v>
      </c>
      <c r="J1971" s="9"/>
      <c r="K1971" s="9"/>
      <c r="L1971" s="9"/>
    </row>
    <row r="1972" spans="2:12" ht="15" x14ac:dyDescent="0.25">
      <c r="B1972" t="s">
        <v>1998</v>
      </c>
      <c r="C1972" s="21" t="s">
        <v>1999</v>
      </c>
      <c r="D1972" s="21" t="str">
        <f>HYPERLINK("https://rhld.insurance.arkansas.gov/NPILookup?Npi=1881710945","1881710945")</f>
        <v>1881710945</v>
      </c>
      <c r="E1972" s="21" t="s">
        <v>2041</v>
      </c>
      <c r="F1972" s="21" t="s">
        <v>12</v>
      </c>
      <c r="G1972" s="22">
        <v>1</v>
      </c>
      <c r="H1972" s="21" t="s">
        <v>4338</v>
      </c>
      <c r="I1972" s="21" t="s">
        <v>32</v>
      </c>
      <c r="J1972" s="9"/>
      <c r="K1972" s="9"/>
      <c r="L1972" s="9"/>
    </row>
    <row r="1973" spans="2:12" ht="15" x14ac:dyDescent="0.25">
      <c r="B1973" t="s">
        <v>1998</v>
      </c>
      <c r="C1973" s="21" t="s">
        <v>1999</v>
      </c>
      <c r="D1973" s="21" t="str">
        <f>HYPERLINK("https://rhld.insurance.arkansas.gov/NPILookup?Npi=1942754635","1942754635")</f>
        <v>1942754635</v>
      </c>
      <c r="E1973" s="21" t="s">
        <v>2042</v>
      </c>
      <c r="F1973" s="21" t="s">
        <v>12</v>
      </c>
      <c r="G1973" s="22">
        <v>1</v>
      </c>
      <c r="H1973" s="21" t="s">
        <v>139</v>
      </c>
      <c r="I1973" s="21" t="s">
        <v>4357</v>
      </c>
      <c r="J1973" s="9"/>
      <c r="K1973" s="9"/>
      <c r="L1973" s="9"/>
    </row>
    <row r="1974" spans="2:12" ht="15" x14ac:dyDescent="0.25">
      <c r="B1974" t="s">
        <v>1998</v>
      </c>
      <c r="C1974" s="21" t="s">
        <v>1999</v>
      </c>
      <c r="D1974" s="21" t="str">
        <f>HYPERLINK("https://rhld.insurance.arkansas.gov/NPILookup?Npi=1952543084","1952543084")</f>
        <v>1952543084</v>
      </c>
      <c r="E1974" s="21" t="s">
        <v>2043</v>
      </c>
      <c r="F1974" s="21" t="s">
        <v>12</v>
      </c>
      <c r="G1974" s="22">
        <v>1</v>
      </c>
      <c r="H1974" s="21" t="s">
        <v>4338</v>
      </c>
      <c r="I1974" s="21" t="s">
        <v>4357</v>
      </c>
      <c r="J1974" s="9"/>
      <c r="K1974" s="9"/>
      <c r="L1974" s="9"/>
    </row>
    <row r="1975" spans="2:12" ht="15" x14ac:dyDescent="0.25">
      <c r="B1975" t="s">
        <v>1998</v>
      </c>
      <c r="C1975" s="21" t="s">
        <v>1999</v>
      </c>
      <c r="D1975" s="21" t="str">
        <f>HYPERLINK("https://rhld.insurance.arkansas.gov/NPILookup?Npi=1992743066","1992743066")</f>
        <v>1992743066</v>
      </c>
      <c r="E1975" s="21" t="s">
        <v>2044</v>
      </c>
      <c r="F1975" s="21" t="s">
        <v>12</v>
      </c>
      <c r="G1975" s="22">
        <v>1</v>
      </c>
      <c r="H1975" s="21" t="s">
        <v>4338</v>
      </c>
      <c r="I1975" s="21" t="s">
        <v>32</v>
      </c>
      <c r="J1975" s="9"/>
      <c r="K1975" s="9"/>
      <c r="L1975" s="9"/>
    </row>
    <row r="1976" spans="2:12" ht="15" x14ac:dyDescent="0.25">
      <c r="B1976" t="s">
        <v>2045</v>
      </c>
      <c r="C1976" t="s">
        <v>2046</v>
      </c>
      <c r="D1976" t="str">
        <f>HYPERLINK("https://rhld.insurance.arkansas.gov/NPILookup?Npi=1487771473","1487771473")</f>
        <v>1487771473</v>
      </c>
      <c r="E1976" t="s">
        <v>2076</v>
      </c>
      <c r="F1976" t="s">
        <v>13</v>
      </c>
      <c r="G1976" s="20">
        <v>1</v>
      </c>
      <c r="H1976" t="s">
        <v>4357</v>
      </c>
      <c r="I1976" t="s">
        <v>4357</v>
      </c>
      <c r="J1976" s="9"/>
      <c r="K1976" s="9"/>
      <c r="L1976" s="9"/>
    </row>
    <row r="1977" spans="2:12" ht="15" x14ac:dyDescent="0.25">
      <c r="B1977" t="s">
        <v>2102</v>
      </c>
      <c r="C1977" t="s">
        <v>2103</v>
      </c>
      <c r="D1977" t="str">
        <f>HYPERLINK("https://rhld.insurance.arkansas.gov/NPILookup?Npi=1003043043","1003043043")</f>
        <v>1003043043</v>
      </c>
      <c r="E1977" t="s">
        <v>4465</v>
      </c>
      <c r="F1977" t="s">
        <v>12</v>
      </c>
      <c r="G1977" s="20">
        <v>1</v>
      </c>
      <c r="H1977" t="s">
        <v>4349</v>
      </c>
      <c r="I1977" t="s">
        <v>4357</v>
      </c>
      <c r="J1977" s="9"/>
      <c r="K1977" s="9"/>
      <c r="L1977" s="9"/>
    </row>
    <row r="1978" spans="2:12" ht="15" x14ac:dyDescent="0.25">
      <c r="B1978" t="s">
        <v>2102</v>
      </c>
      <c r="C1978" t="s">
        <v>2103</v>
      </c>
      <c r="D1978" t="str">
        <f>HYPERLINK("https://rhld.insurance.arkansas.gov/NPILookup?Npi=1003066846","1003066846")</f>
        <v>1003066846</v>
      </c>
      <c r="E1978" t="s">
        <v>349</v>
      </c>
      <c r="F1978" t="s">
        <v>12</v>
      </c>
      <c r="G1978" s="20">
        <v>1</v>
      </c>
      <c r="H1978" t="s">
        <v>4349</v>
      </c>
      <c r="I1978" t="s">
        <v>32</v>
      </c>
      <c r="J1978" s="9"/>
      <c r="K1978" s="9"/>
      <c r="L1978" s="9"/>
    </row>
    <row r="1979" spans="2:12" ht="15" x14ac:dyDescent="0.25">
      <c r="B1979" t="s">
        <v>2102</v>
      </c>
      <c r="C1979" t="s">
        <v>2103</v>
      </c>
      <c r="D1979" t="str">
        <f>HYPERLINK("https://rhld.insurance.arkansas.gov/NPILookup?Npi=1003097593","1003097593")</f>
        <v>1003097593</v>
      </c>
      <c r="E1979" t="s">
        <v>4466</v>
      </c>
      <c r="F1979" t="s">
        <v>12</v>
      </c>
      <c r="G1979" s="20">
        <v>1</v>
      </c>
      <c r="H1979" t="s">
        <v>4349</v>
      </c>
      <c r="I1979" t="s">
        <v>4357</v>
      </c>
      <c r="J1979" s="9"/>
      <c r="K1979" s="9"/>
      <c r="L1979" s="9"/>
    </row>
    <row r="1980" spans="2:12" ht="15" x14ac:dyDescent="0.25">
      <c r="B1980" t="s">
        <v>2102</v>
      </c>
      <c r="C1980" t="s">
        <v>2103</v>
      </c>
      <c r="D1980" t="str">
        <f>HYPERLINK("https://rhld.insurance.arkansas.gov/NPILookup?Npi=1003128844","1003128844")</f>
        <v>1003128844</v>
      </c>
      <c r="E1980" t="s">
        <v>2106</v>
      </c>
      <c r="F1980" t="s">
        <v>13</v>
      </c>
      <c r="G1980" s="20">
        <v>1</v>
      </c>
      <c r="H1980" t="s">
        <v>4357</v>
      </c>
      <c r="I1980" t="s">
        <v>4357</v>
      </c>
      <c r="J1980" s="9"/>
      <c r="K1980" s="9"/>
      <c r="L1980" s="9"/>
    </row>
    <row r="1981" spans="2:12" ht="15" x14ac:dyDescent="0.25">
      <c r="B1981" t="s">
        <v>2102</v>
      </c>
      <c r="C1981" t="s">
        <v>2103</v>
      </c>
      <c r="D1981" t="str">
        <f>HYPERLINK("https://rhld.insurance.arkansas.gov/NPILookup?Npi=1003133224","1003133224")</f>
        <v>1003133224</v>
      </c>
      <c r="E1981" t="s">
        <v>4467</v>
      </c>
      <c r="F1981" t="s">
        <v>12</v>
      </c>
      <c r="G1981" s="20">
        <v>1</v>
      </c>
      <c r="H1981" t="s">
        <v>4349</v>
      </c>
      <c r="I1981" t="s">
        <v>32</v>
      </c>
      <c r="J1981" s="9"/>
      <c r="K1981" s="9"/>
      <c r="L1981" s="9"/>
    </row>
    <row r="1982" spans="2:12" ht="15" x14ac:dyDescent="0.25">
      <c r="B1982" t="s">
        <v>2102</v>
      </c>
      <c r="C1982" t="s">
        <v>2103</v>
      </c>
      <c r="D1982" t="str">
        <f>HYPERLINK("https://rhld.insurance.arkansas.gov/NPILookup?Npi=1003158338","1003158338")</f>
        <v>1003158338</v>
      </c>
      <c r="E1982" t="s">
        <v>760</v>
      </c>
      <c r="F1982" t="s">
        <v>12</v>
      </c>
      <c r="G1982" s="20">
        <v>1</v>
      </c>
      <c r="H1982" t="s">
        <v>4349</v>
      </c>
      <c r="I1982" t="s">
        <v>32</v>
      </c>
      <c r="J1982" s="9"/>
      <c r="K1982" s="9"/>
      <c r="L1982" s="9"/>
    </row>
    <row r="1983" spans="2:12" ht="15" x14ac:dyDescent="0.25">
      <c r="B1983" t="s">
        <v>2102</v>
      </c>
      <c r="C1983" t="s">
        <v>2103</v>
      </c>
      <c r="D1983" t="str">
        <f>HYPERLINK("https://rhld.insurance.arkansas.gov/NPILookup?Npi=1003337544","1003337544")</f>
        <v>1003337544</v>
      </c>
      <c r="E1983" t="s">
        <v>4468</v>
      </c>
      <c r="F1983" t="s">
        <v>12</v>
      </c>
      <c r="G1983" s="20">
        <v>1</v>
      </c>
      <c r="H1983" t="s">
        <v>4349</v>
      </c>
      <c r="I1983" t="s">
        <v>32</v>
      </c>
      <c r="J1983" s="9"/>
      <c r="K1983" s="9"/>
      <c r="L1983" s="9"/>
    </row>
    <row r="1984" spans="2:12" ht="15" x14ac:dyDescent="0.25">
      <c r="B1984" t="s">
        <v>2102</v>
      </c>
      <c r="C1984" t="s">
        <v>2103</v>
      </c>
      <c r="D1984" t="str">
        <f>HYPERLINK("https://rhld.insurance.arkansas.gov/NPILookup?Npi=1003379173","1003379173")</f>
        <v>1003379173</v>
      </c>
      <c r="E1984" t="s">
        <v>2108</v>
      </c>
      <c r="F1984" t="s">
        <v>12</v>
      </c>
      <c r="G1984" s="20">
        <v>1</v>
      </c>
      <c r="H1984" t="s">
        <v>4349</v>
      </c>
      <c r="I1984" t="s">
        <v>32</v>
      </c>
      <c r="J1984" s="9"/>
      <c r="K1984" s="9"/>
      <c r="L1984" s="9"/>
    </row>
    <row r="1985" spans="2:12" ht="15" x14ac:dyDescent="0.25">
      <c r="B1985" t="s">
        <v>2102</v>
      </c>
      <c r="C1985" t="s">
        <v>2103</v>
      </c>
      <c r="D1985" t="str">
        <f>HYPERLINK("https://rhld.insurance.arkansas.gov/NPILookup?Npi=1003379835","1003379835")</f>
        <v>1003379835</v>
      </c>
      <c r="E1985" t="s">
        <v>2109</v>
      </c>
      <c r="F1985" t="s">
        <v>12</v>
      </c>
      <c r="G1985" s="20">
        <v>1</v>
      </c>
      <c r="H1985" t="s">
        <v>4349</v>
      </c>
      <c r="I1985" t="s">
        <v>4357</v>
      </c>
      <c r="J1985" s="9"/>
      <c r="K1985" s="9"/>
      <c r="L1985" s="9"/>
    </row>
    <row r="1986" spans="2:12" ht="15" x14ac:dyDescent="0.25">
      <c r="B1986" t="s">
        <v>2102</v>
      </c>
      <c r="C1986" t="s">
        <v>2103</v>
      </c>
      <c r="D1986" t="str">
        <f>HYPERLINK("https://rhld.insurance.arkansas.gov/NPILookup?Npi=1003442153","1003442153")</f>
        <v>1003442153</v>
      </c>
      <c r="E1986" t="s">
        <v>351</v>
      </c>
      <c r="F1986" t="s">
        <v>12</v>
      </c>
      <c r="G1986" s="20">
        <v>1</v>
      </c>
      <c r="H1986" t="s">
        <v>4338</v>
      </c>
      <c r="I1986" t="s">
        <v>32</v>
      </c>
      <c r="J1986" s="9"/>
      <c r="K1986" s="9"/>
      <c r="L1986" s="9"/>
    </row>
    <row r="1987" spans="2:12" ht="15" x14ac:dyDescent="0.25">
      <c r="B1987" t="s">
        <v>2102</v>
      </c>
      <c r="C1987" t="s">
        <v>2103</v>
      </c>
      <c r="D1987" t="str">
        <f>HYPERLINK("https://rhld.insurance.arkansas.gov/NPILookup?Npi=1003445370","1003445370")</f>
        <v>1003445370</v>
      </c>
      <c r="E1987" t="s">
        <v>2110</v>
      </c>
      <c r="F1987" t="s">
        <v>12</v>
      </c>
      <c r="G1987" s="20">
        <v>1</v>
      </c>
      <c r="H1987" t="s">
        <v>4349</v>
      </c>
      <c r="I1987" t="s">
        <v>32</v>
      </c>
      <c r="J1987" s="9"/>
      <c r="K1987" s="9"/>
      <c r="L1987" s="9"/>
    </row>
    <row r="1988" spans="2:12" ht="15" x14ac:dyDescent="0.25">
      <c r="B1988" t="s">
        <v>2102</v>
      </c>
      <c r="C1988" t="s">
        <v>2103</v>
      </c>
      <c r="D1988" t="str">
        <f>HYPERLINK("https://rhld.insurance.arkansas.gov/NPILookup?Npi=1003455833","1003455833")</f>
        <v>1003455833</v>
      </c>
      <c r="E1988" t="s">
        <v>2111</v>
      </c>
      <c r="F1988" t="s">
        <v>12</v>
      </c>
      <c r="G1988" s="20">
        <v>1</v>
      </c>
      <c r="H1988" t="s">
        <v>4338</v>
      </c>
      <c r="I1988" t="s">
        <v>32</v>
      </c>
      <c r="J1988" s="9"/>
      <c r="K1988" s="9"/>
      <c r="L1988" s="9"/>
    </row>
    <row r="1989" spans="2:12" ht="15" x14ac:dyDescent="0.25">
      <c r="B1989" t="s">
        <v>2102</v>
      </c>
      <c r="C1989" t="s">
        <v>2103</v>
      </c>
      <c r="D1989" t="str">
        <f>HYPERLINK("https://rhld.insurance.arkansas.gov/NPILookup?Npi=1003527011","1003527011")</f>
        <v>1003527011</v>
      </c>
      <c r="E1989" t="s">
        <v>2112</v>
      </c>
      <c r="F1989" t="s">
        <v>13</v>
      </c>
      <c r="G1989" s="20">
        <v>2</v>
      </c>
      <c r="H1989" t="s">
        <v>439</v>
      </c>
      <c r="I1989" t="s">
        <v>4357</v>
      </c>
      <c r="J1989" s="9"/>
      <c r="K1989" s="9"/>
      <c r="L1989" s="9"/>
    </row>
    <row r="1990" spans="2:12" ht="15" x14ac:dyDescent="0.25">
      <c r="B1990" t="s">
        <v>2102</v>
      </c>
      <c r="C1990" t="s">
        <v>2103</v>
      </c>
      <c r="D1990" t="str">
        <f>HYPERLINK("https://rhld.insurance.arkansas.gov/NPILookup?Npi=1003531518","1003531518")</f>
        <v>1003531518</v>
      </c>
      <c r="E1990" t="s">
        <v>2113</v>
      </c>
      <c r="F1990" t="s">
        <v>12</v>
      </c>
      <c r="G1990" s="20">
        <v>1</v>
      </c>
      <c r="H1990" t="s">
        <v>4338</v>
      </c>
      <c r="I1990" t="s">
        <v>32</v>
      </c>
      <c r="J1990" s="9"/>
      <c r="K1990" s="9"/>
      <c r="L1990" s="9"/>
    </row>
    <row r="1991" spans="2:12" ht="15" x14ac:dyDescent="0.25">
      <c r="B1991" t="s">
        <v>2102</v>
      </c>
      <c r="C1991" t="s">
        <v>2103</v>
      </c>
      <c r="D1991" t="str">
        <f>HYPERLINK("https://rhld.insurance.arkansas.gov/NPILookup?Npi=1003564154","1003564154")</f>
        <v>1003564154</v>
      </c>
      <c r="E1991" t="s">
        <v>2114</v>
      </c>
      <c r="F1991" t="s">
        <v>12</v>
      </c>
      <c r="G1991" s="20">
        <v>1</v>
      </c>
      <c r="H1991" t="s">
        <v>4338</v>
      </c>
      <c r="I1991" t="s">
        <v>32</v>
      </c>
      <c r="J1991" s="9"/>
      <c r="K1991" s="9"/>
      <c r="L1991" s="9"/>
    </row>
    <row r="1992" spans="2:12" ht="15" x14ac:dyDescent="0.25">
      <c r="B1992" t="s">
        <v>2102</v>
      </c>
      <c r="C1992" t="s">
        <v>2103</v>
      </c>
      <c r="D1992" t="str">
        <f>HYPERLINK("https://rhld.insurance.arkansas.gov/NPILookup?Npi=1003654526","1003654526")</f>
        <v>1003654526</v>
      </c>
      <c r="E1992" t="s">
        <v>2115</v>
      </c>
      <c r="F1992" t="s">
        <v>13</v>
      </c>
      <c r="G1992" s="20">
        <v>1</v>
      </c>
      <c r="H1992" t="s">
        <v>4357</v>
      </c>
      <c r="I1992" t="s">
        <v>4357</v>
      </c>
      <c r="J1992" s="9"/>
      <c r="K1992" s="9"/>
      <c r="L1992" s="9"/>
    </row>
    <row r="1993" spans="2:12" ht="15" x14ac:dyDescent="0.25">
      <c r="B1993" t="s">
        <v>2102</v>
      </c>
      <c r="C1993" t="s">
        <v>2103</v>
      </c>
      <c r="D1993" t="str">
        <f>HYPERLINK("https://rhld.insurance.arkansas.gov/NPILookup?Npi=1003676479","1003676479")</f>
        <v>1003676479</v>
      </c>
      <c r="E1993" t="s">
        <v>2047</v>
      </c>
      <c r="F1993" t="s">
        <v>13</v>
      </c>
      <c r="G1993" s="20">
        <v>1</v>
      </c>
      <c r="H1993" t="s">
        <v>4357</v>
      </c>
      <c r="I1993" t="s">
        <v>4357</v>
      </c>
      <c r="J1993" s="9"/>
      <c r="K1993" s="9"/>
      <c r="L1993" s="9"/>
    </row>
    <row r="1994" spans="2:12" ht="15" x14ac:dyDescent="0.25">
      <c r="B1994" t="s">
        <v>2102</v>
      </c>
      <c r="C1994" t="s">
        <v>2103</v>
      </c>
      <c r="D1994" t="str">
        <f>HYPERLINK("https://rhld.insurance.arkansas.gov/NPILookup?Npi=1003679804","1003679804")</f>
        <v>1003679804</v>
      </c>
      <c r="E1994" t="s">
        <v>2116</v>
      </c>
      <c r="F1994" t="s">
        <v>13</v>
      </c>
      <c r="G1994" s="20">
        <v>1</v>
      </c>
      <c r="H1994" t="s">
        <v>87</v>
      </c>
      <c r="I1994" t="s">
        <v>4357</v>
      </c>
      <c r="J1994" s="9"/>
      <c r="K1994" s="9"/>
      <c r="L1994" s="9"/>
    </row>
    <row r="1995" spans="2:12" ht="15" x14ac:dyDescent="0.25">
      <c r="B1995" t="s">
        <v>2102</v>
      </c>
      <c r="C1995" t="s">
        <v>2103</v>
      </c>
      <c r="D1995" t="str">
        <f>HYPERLINK("https://rhld.insurance.arkansas.gov/NPILookup?Npi=1003680125","1003680125")</f>
        <v>1003680125</v>
      </c>
      <c r="E1995" t="s">
        <v>2117</v>
      </c>
      <c r="F1995" t="s">
        <v>13</v>
      </c>
      <c r="G1995" s="20">
        <v>1</v>
      </c>
      <c r="H1995" t="s">
        <v>4357</v>
      </c>
      <c r="I1995" t="s">
        <v>4357</v>
      </c>
      <c r="J1995" s="9"/>
      <c r="K1995" s="9"/>
      <c r="L1995" s="9"/>
    </row>
    <row r="1996" spans="2:12" ht="15" x14ac:dyDescent="0.25">
      <c r="B1996" t="s">
        <v>2102</v>
      </c>
      <c r="C1996" t="s">
        <v>2103</v>
      </c>
      <c r="D1996" t="str">
        <f>HYPERLINK("https://rhld.insurance.arkansas.gov/NPILookup?Npi=1003874801","1003874801")</f>
        <v>1003874801</v>
      </c>
      <c r="E1996" t="s">
        <v>4469</v>
      </c>
      <c r="F1996" t="s">
        <v>12</v>
      </c>
      <c r="G1996" s="20">
        <v>1</v>
      </c>
      <c r="H1996" t="s">
        <v>4349</v>
      </c>
      <c r="I1996" t="s">
        <v>4357</v>
      </c>
      <c r="J1996" s="9"/>
      <c r="K1996" s="9"/>
      <c r="L1996" s="9"/>
    </row>
    <row r="1997" spans="2:12" ht="15" x14ac:dyDescent="0.25">
      <c r="B1997" t="s">
        <v>2102</v>
      </c>
      <c r="C1997" t="s">
        <v>2103</v>
      </c>
      <c r="D1997" t="str">
        <f>HYPERLINK("https://rhld.insurance.arkansas.gov/NPILookup?Npi=1003887589","1003887589")</f>
        <v>1003887589</v>
      </c>
      <c r="E1997" t="s">
        <v>4470</v>
      </c>
      <c r="F1997" t="s">
        <v>12</v>
      </c>
      <c r="G1997" s="20">
        <v>1</v>
      </c>
      <c r="H1997" t="s">
        <v>4349</v>
      </c>
      <c r="I1997" t="s">
        <v>32</v>
      </c>
      <c r="J1997" s="9"/>
      <c r="K1997" s="9"/>
      <c r="L1997" s="9"/>
    </row>
    <row r="1998" spans="2:12" ht="15" x14ac:dyDescent="0.25">
      <c r="B1998" t="s">
        <v>2102</v>
      </c>
      <c r="C1998" t="s">
        <v>2103</v>
      </c>
      <c r="D1998" t="str">
        <f>HYPERLINK("https://rhld.insurance.arkansas.gov/NPILookup?Npi=1003893330","1003893330")</f>
        <v>1003893330</v>
      </c>
      <c r="E1998" t="s">
        <v>2118</v>
      </c>
      <c r="F1998" t="s">
        <v>12</v>
      </c>
      <c r="G1998" s="20">
        <v>1</v>
      </c>
      <c r="H1998" t="s">
        <v>4349</v>
      </c>
      <c r="I1998" t="s">
        <v>32</v>
      </c>
      <c r="J1998" s="9"/>
      <c r="K1998" s="9"/>
      <c r="L1998" s="9"/>
    </row>
    <row r="1999" spans="2:12" ht="15" x14ac:dyDescent="0.25">
      <c r="B1999" t="s">
        <v>2102</v>
      </c>
      <c r="C1999" t="s">
        <v>2103</v>
      </c>
      <c r="D1999" t="str">
        <f>HYPERLINK("https://rhld.insurance.arkansas.gov/NPILookup?Npi=1013206747","1013206747")</f>
        <v>1013206747</v>
      </c>
      <c r="E1999" t="s">
        <v>2121</v>
      </c>
      <c r="F1999" t="s">
        <v>13</v>
      </c>
      <c r="G1999" s="20">
        <v>2</v>
      </c>
      <c r="H1999" t="s">
        <v>439</v>
      </c>
      <c r="I1999" t="s">
        <v>4357</v>
      </c>
      <c r="J1999" s="9"/>
      <c r="K1999" s="9"/>
      <c r="L1999" s="9"/>
    </row>
    <row r="2000" spans="2:12" ht="15" x14ac:dyDescent="0.25">
      <c r="B2000" t="s">
        <v>2102</v>
      </c>
      <c r="C2000" t="s">
        <v>2103</v>
      </c>
      <c r="D2000" t="str">
        <f>HYPERLINK("https://rhld.insurance.arkansas.gov/NPILookup?Npi=1013250554","1013250554")</f>
        <v>1013250554</v>
      </c>
      <c r="E2000" t="s">
        <v>971</v>
      </c>
      <c r="F2000" t="s">
        <v>12</v>
      </c>
      <c r="G2000" s="20">
        <v>1</v>
      </c>
      <c r="H2000" t="s">
        <v>4349</v>
      </c>
      <c r="I2000" t="s">
        <v>32</v>
      </c>
      <c r="J2000" s="9"/>
      <c r="K2000" s="9"/>
      <c r="L2000" s="9"/>
    </row>
    <row r="2001" spans="2:12" ht="15" x14ac:dyDescent="0.25">
      <c r="B2001" t="s">
        <v>2102</v>
      </c>
      <c r="C2001" t="s">
        <v>2103</v>
      </c>
      <c r="D2001" t="str">
        <f>HYPERLINK("https://rhld.insurance.arkansas.gov/NPILookup?Npi=1013276187","1013276187")</f>
        <v>1013276187</v>
      </c>
      <c r="E2001" t="s">
        <v>2122</v>
      </c>
      <c r="F2001" t="s">
        <v>12</v>
      </c>
      <c r="G2001" s="20">
        <v>1</v>
      </c>
      <c r="H2001" t="s">
        <v>4349</v>
      </c>
      <c r="I2001" t="s">
        <v>32</v>
      </c>
      <c r="J2001" s="9"/>
      <c r="K2001" s="9"/>
      <c r="L2001" s="9"/>
    </row>
    <row r="2002" spans="2:12" ht="15" x14ac:dyDescent="0.25">
      <c r="B2002" t="s">
        <v>2102</v>
      </c>
      <c r="C2002" t="s">
        <v>2103</v>
      </c>
      <c r="D2002" t="str">
        <f>HYPERLINK("https://rhld.insurance.arkansas.gov/NPILookup?Npi=1013282243","1013282243")</f>
        <v>1013282243</v>
      </c>
      <c r="E2002" t="s">
        <v>2123</v>
      </c>
      <c r="F2002" t="s">
        <v>12</v>
      </c>
      <c r="G2002" s="20">
        <v>1</v>
      </c>
      <c r="H2002" t="s">
        <v>4349</v>
      </c>
      <c r="I2002" t="s">
        <v>4357</v>
      </c>
      <c r="J2002" s="9"/>
      <c r="K2002" s="9"/>
      <c r="L2002" s="9"/>
    </row>
    <row r="2003" spans="2:12" ht="15" x14ac:dyDescent="0.25">
      <c r="B2003" t="s">
        <v>2102</v>
      </c>
      <c r="C2003" t="s">
        <v>2103</v>
      </c>
      <c r="D2003" t="str">
        <f>HYPERLINK("https://rhld.insurance.arkansas.gov/NPILookup?Npi=1013301936","1013301936")</f>
        <v>1013301936</v>
      </c>
      <c r="E2003" t="s">
        <v>2124</v>
      </c>
      <c r="F2003" t="s">
        <v>12</v>
      </c>
      <c r="G2003" s="20">
        <v>1</v>
      </c>
      <c r="H2003" t="s">
        <v>4338</v>
      </c>
      <c r="I2003" t="s">
        <v>32</v>
      </c>
      <c r="J2003" s="9"/>
      <c r="K2003" s="9"/>
      <c r="L2003" s="9"/>
    </row>
    <row r="2004" spans="2:12" ht="15" x14ac:dyDescent="0.25">
      <c r="B2004" t="s">
        <v>2102</v>
      </c>
      <c r="C2004" t="s">
        <v>2103</v>
      </c>
      <c r="D2004" t="str">
        <f>HYPERLINK("https://rhld.insurance.arkansas.gov/NPILookup?Npi=1013303700","1013303700")</f>
        <v>1013303700</v>
      </c>
      <c r="E2004" t="s">
        <v>2125</v>
      </c>
      <c r="F2004" t="s">
        <v>12</v>
      </c>
      <c r="G2004" s="20">
        <v>1</v>
      </c>
      <c r="H2004" t="s">
        <v>4338</v>
      </c>
      <c r="I2004" t="s">
        <v>32</v>
      </c>
      <c r="J2004" s="9"/>
      <c r="K2004" s="9"/>
      <c r="L2004" s="9"/>
    </row>
    <row r="2005" spans="2:12" ht="15" x14ac:dyDescent="0.25">
      <c r="B2005" t="s">
        <v>2102</v>
      </c>
      <c r="C2005" t="s">
        <v>2103</v>
      </c>
      <c r="D2005" t="str">
        <f>HYPERLINK("https://rhld.insurance.arkansas.gov/NPILookup?Npi=1013305895","1013305895")</f>
        <v>1013305895</v>
      </c>
      <c r="E2005" t="s">
        <v>2126</v>
      </c>
      <c r="F2005" t="s">
        <v>13</v>
      </c>
      <c r="G2005" s="20">
        <v>1</v>
      </c>
      <c r="H2005" t="s">
        <v>87</v>
      </c>
      <c r="I2005" t="s">
        <v>4357</v>
      </c>
      <c r="J2005" s="9"/>
      <c r="K2005" s="9"/>
      <c r="L2005" s="9"/>
    </row>
    <row r="2006" spans="2:12" ht="15" x14ac:dyDescent="0.25">
      <c r="B2006" t="s">
        <v>2102</v>
      </c>
      <c r="C2006" t="s">
        <v>2103</v>
      </c>
      <c r="D2006" t="str">
        <f>HYPERLINK("https://rhld.insurance.arkansas.gov/NPILookup?Npi=1013358522","1013358522")</f>
        <v>1013358522</v>
      </c>
      <c r="E2006" t="s">
        <v>2127</v>
      </c>
      <c r="F2006" t="s">
        <v>12</v>
      </c>
      <c r="G2006" s="20">
        <v>1</v>
      </c>
      <c r="H2006" t="s">
        <v>4338</v>
      </c>
      <c r="I2006" t="s">
        <v>32</v>
      </c>
      <c r="J2006" s="9"/>
      <c r="K2006" s="9"/>
      <c r="L2006" s="9"/>
    </row>
    <row r="2007" spans="2:12" ht="15" x14ac:dyDescent="0.25">
      <c r="B2007" t="s">
        <v>2102</v>
      </c>
      <c r="C2007" t="s">
        <v>2103</v>
      </c>
      <c r="D2007" t="str">
        <f>HYPERLINK("https://rhld.insurance.arkansas.gov/NPILookup?Npi=1013390467","1013390467")</f>
        <v>1013390467</v>
      </c>
      <c r="E2007" t="s">
        <v>2128</v>
      </c>
      <c r="F2007" t="s">
        <v>12</v>
      </c>
      <c r="G2007" s="20">
        <v>1</v>
      </c>
      <c r="H2007" t="s">
        <v>4349</v>
      </c>
      <c r="I2007" t="s">
        <v>4357</v>
      </c>
      <c r="J2007" s="9"/>
      <c r="K2007" s="9"/>
      <c r="L2007" s="9"/>
    </row>
    <row r="2008" spans="2:12" ht="15" x14ac:dyDescent="0.25">
      <c r="B2008" t="s">
        <v>2102</v>
      </c>
      <c r="C2008" t="s">
        <v>2103</v>
      </c>
      <c r="D2008" t="str">
        <f>HYPERLINK("https://rhld.insurance.arkansas.gov/NPILookup?Npi=1013435718","1013435718")</f>
        <v>1013435718</v>
      </c>
      <c r="E2008" t="s">
        <v>2129</v>
      </c>
      <c r="F2008" t="s">
        <v>13</v>
      </c>
      <c r="G2008" s="20">
        <v>1</v>
      </c>
      <c r="H2008" t="s">
        <v>4357</v>
      </c>
      <c r="I2008" t="s">
        <v>4357</v>
      </c>
      <c r="J2008" s="9"/>
      <c r="K2008" s="9"/>
      <c r="L2008" s="9"/>
    </row>
    <row r="2009" spans="2:12" ht="15" x14ac:dyDescent="0.25">
      <c r="B2009" t="s">
        <v>2102</v>
      </c>
      <c r="C2009" t="s">
        <v>2103</v>
      </c>
      <c r="D2009" t="str">
        <f>HYPERLINK("https://rhld.insurance.arkansas.gov/NPILookup?Npi=1013478718","1013478718")</f>
        <v>1013478718</v>
      </c>
      <c r="E2009" t="s">
        <v>2130</v>
      </c>
      <c r="F2009" t="s">
        <v>12</v>
      </c>
      <c r="G2009" s="20">
        <v>1</v>
      </c>
      <c r="H2009" t="s">
        <v>4349</v>
      </c>
      <c r="I2009" t="s">
        <v>32</v>
      </c>
      <c r="J2009" s="9"/>
      <c r="K2009" s="9"/>
      <c r="L2009" s="9"/>
    </row>
    <row r="2010" spans="2:12" ht="15" x14ac:dyDescent="0.25">
      <c r="B2010" t="s">
        <v>2102</v>
      </c>
      <c r="C2010" t="s">
        <v>2103</v>
      </c>
      <c r="D2010" t="str">
        <f>HYPERLINK("https://rhld.insurance.arkansas.gov/NPILookup?Npi=1013568013","1013568013")</f>
        <v>1013568013</v>
      </c>
      <c r="E2010" t="s">
        <v>2132</v>
      </c>
      <c r="F2010" t="s">
        <v>13</v>
      </c>
      <c r="G2010" s="20">
        <v>1</v>
      </c>
      <c r="H2010" t="s">
        <v>4357</v>
      </c>
      <c r="I2010" t="s">
        <v>4357</v>
      </c>
      <c r="J2010" s="9"/>
      <c r="K2010" s="9"/>
      <c r="L2010" s="9"/>
    </row>
    <row r="2011" spans="2:12" ht="15" x14ac:dyDescent="0.25">
      <c r="B2011" t="s">
        <v>2102</v>
      </c>
      <c r="C2011" t="s">
        <v>2103</v>
      </c>
      <c r="D2011" t="str">
        <f>HYPERLINK("https://rhld.insurance.arkansas.gov/NPILookup?Npi=1013572270","1013572270")</f>
        <v>1013572270</v>
      </c>
      <c r="E2011" t="s">
        <v>2133</v>
      </c>
      <c r="F2011" t="s">
        <v>12</v>
      </c>
      <c r="G2011" s="20">
        <v>1</v>
      </c>
      <c r="H2011" t="s">
        <v>4349</v>
      </c>
      <c r="I2011" t="s">
        <v>32</v>
      </c>
      <c r="J2011" s="9"/>
      <c r="K2011" s="9"/>
      <c r="L2011" s="9"/>
    </row>
    <row r="2012" spans="2:12" ht="15" x14ac:dyDescent="0.25">
      <c r="B2012" t="s">
        <v>2102</v>
      </c>
      <c r="C2012" t="s">
        <v>2103</v>
      </c>
      <c r="D2012" t="str">
        <f>HYPERLINK("https://rhld.insurance.arkansas.gov/NPILookup?Npi=1013595420","1013595420")</f>
        <v>1013595420</v>
      </c>
      <c r="E2012" t="s">
        <v>1524</v>
      </c>
      <c r="F2012" t="s">
        <v>12</v>
      </c>
      <c r="G2012" s="20">
        <v>1</v>
      </c>
      <c r="H2012" t="s">
        <v>4338</v>
      </c>
      <c r="I2012" t="s">
        <v>32</v>
      </c>
      <c r="J2012" s="9"/>
      <c r="K2012" s="9"/>
      <c r="L2012" s="9"/>
    </row>
    <row r="2013" spans="2:12" ht="15" x14ac:dyDescent="0.25">
      <c r="B2013" t="s">
        <v>2102</v>
      </c>
      <c r="C2013" t="s">
        <v>2103</v>
      </c>
      <c r="D2013" t="str">
        <f>HYPERLINK("https://rhld.insurance.arkansas.gov/NPILookup?Npi=1013684760","1013684760")</f>
        <v>1013684760</v>
      </c>
      <c r="E2013" t="s">
        <v>2134</v>
      </c>
      <c r="F2013" t="s">
        <v>13</v>
      </c>
      <c r="G2013" s="20">
        <v>1</v>
      </c>
      <c r="H2013" t="s">
        <v>4357</v>
      </c>
      <c r="I2013" t="s">
        <v>4357</v>
      </c>
      <c r="J2013" s="9"/>
      <c r="K2013" s="9"/>
      <c r="L2013" s="9"/>
    </row>
    <row r="2014" spans="2:12" ht="15" x14ac:dyDescent="0.25">
      <c r="B2014" t="s">
        <v>2102</v>
      </c>
      <c r="C2014" t="s">
        <v>2103</v>
      </c>
      <c r="D2014" t="str">
        <f>HYPERLINK("https://rhld.insurance.arkansas.gov/NPILookup?Npi=1013904895","1013904895")</f>
        <v>1013904895</v>
      </c>
      <c r="E2014" t="s">
        <v>2135</v>
      </c>
      <c r="F2014" t="s">
        <v>12</v>
      </c>
      <c r="G2014" s="20">
        <v>1</v>
      </c>
      <c r="H2014" t="s">
        <v>4349</v>
      </c>
      <c r="I2014" t="s">
        <v>4357</v>
      </c>
      <c r="J2014" s="9"/>
      <c r="K2014" s="9"/>
      <c r="L2014" s="9"/>
    </row>
    <row r="2015" spans="2:12" ht="15" x14ac:dyDescent="0.25">
      <c r="B2015" t="s">
        <v>2102</v>
      </c>
      <c r="C2015" t="s">
        <v>2103</v>
      </c>
      <c r="D2015" t="str">
        <f>HYPERLINK("https://rhld.insurance.arkansas.gov/NPILookup?Npi=1013926062","1013926062")</f>
        <v>1013926062</v>
      </c>
      <c r="E2015" t="s">
        <v>4471</v>
      </c>
      <c r="F2015" t="s">
        <v>12</v>
      </c>
      <c r="G2015" s="20">
        <v>1</v>
      </c>
      <c r="H2015" t="s">
        <v>4349</v>
      </c>
      <c r="I2015" t="s">
        <v>32</v>
      </c>
      <c r="J2015" s="9"/>
      <c r="K2015" s="9"/>
      <c r="L2015" s="9"/>
    </row>
    <row r="2016" spans="2:12" ht="15" x14ac:dyDescent="0.25">
      <c r="B2016" t="s">
        <v>2102</v>
      </c>
      <c r="C2016" t="s">
        <v>2103</v>
      </c>
      <c r="D2016" t="str">
        <f>HYPERLINK("https://rhld.insurance.arkansas.gov/NPILookup?Npi=1013954320","1013954320")</f>
        <v>1013954320</v>
      </c>
      <c r="E2016" t="s">
        <v>361</v>
      </c>
      <c r="F2016" t="s">
        <v>12</v>
      </c>
      <c r="G2016" s="20">
        <v>1</v>
      </c>
      <c r="H2016" t="s">
        <v>4349</v>
      </c>
      <c r="I2016" t="s">
        <v>32</v>
      </c>
      <c r="J2016" s="9"/>
      <c r="K2016" s="9"/>
      <c r="L2016" s="9"/>
    </row>
    <row r="2017" spans="2:12" ht="15" x14ac:dyDescent="0.25">
      <c r="B2017" t="s">
        <v>2102</v>
      </c>
      <c r="C2017" t="s">
        <v>2103</v>
      </c>
      <c r="D2017" t="str">
        <f>HYPERLINK("https://rhld.insurance.arkansas.gov/NPILookup?Npi=1013967835","1013967835")</f>
        <v>1013967835</v>
      </c>
      <c r="E2017" t="s">
        <v>363</v>
      </c>
      <c r="F2017" t="s">
        <v>12</v>
      </c>
      <c r="G2017" s="20">
        <v>1</v>
      </c>
      <c r="H2017" t="s">
        <v>4349</v>
      </c>
      <c r="I2017" t="s">
        <v>32</v>
      </c>
      <c r="J2017" s="9"/>
      <c r="K2017" s="9"/>
      <c r="L2017" s="9"/>
    </row>
    <row r="2018" spans="2:12" ht="15" x14ac:dyDescent="0.25">
      <c r="B2018" t="s">
        <v>2102</v>
      </c>
      <c r="C2018" t="s">
        <v>2103</v>
      </c>
      <c r="D2018" t="str">
        <f>HYPERLINK("https://rhld.insurance.arkansas.gov/NPILookup?Npi=1023030699","1023030699")</f>
        <v>1023030699</v>
      </c>
      <c r="E2018" t="s">
        <v>2136</v>
      </c>
      <c r="F2018" t="s">
        <v>12</v>
      </c>
      <c r="G2018" s="20">
        <v>1</v>
      </c>
      <c r="H2018" t="s">
        <v>4349</v>
      </c>
      <c r="I2018" t="s">
        <v>32</v>
      </c>
      <c r="J2018" s="9"/>
      <c r="K2018" s="9"/>
      <c r="L2018" s="9"/>
    </row>
    <row r="2019" spans="2:12" ht="15" x14ac:dyDescent="0.25">
      <c r="B2019" t="s">
        <v>2102</v>
      </c>
      <c r="C2019" t="s">
        <v>2103</v>
      </c>
      <c r="D2019" t="str">
        <f>HYPERLINK("https://rhld.insurance.arkansas.gov/NPILookup?Npi=1023107935","1023107935")</f>
        <v>1023107935</v>
      </c>
      <c r="E2019" t="s">
        <v>1167</v>
      </c>
      <c r="F2019" t="s">
        <v>12</v>
      </c>
      <c r="G2019" s="20">
        <v>1</v>
      </c>
      <c r="H2019" t="s">
        <v>4349</v>
      </c>
      <c r="I2019" t="s">
        <v>32</v>
      </c>
      <c r="J2019" s="9"/>
      <c r="K2019" s="9"/>
      <c r="L2019" s="9"/>
    </row>
    <row r="2020" spans="2:12" ht="15" x14ac:dyDescent="0.25">
      <c r="B2020" t="s">
        <v>2102</v>
      </c>
      <c r="C2020" t="s">
        <v>2103</v>
      </c>
      <c r="D2020" t="str">
        <f>HYPERLINK("https://rhld.insurance.arkansas.gov/NPILookup?Npi=1023113784","1023113784")</f>
        <v>1023113784</v>
      </c>
      <c r="E2020" t="s">
        <v>2138</v>
      </c>
      <c r="F2020" t="s">
        <v>13</v>
      </c>
      <c r="G2020" s="20">
        <v>1</v>
      </c>
      <c r="H2020" t="s">
        <v>4357</v>
      </c>
      <c r="I2020" t="s">
        <v>4357</v>
      </c>
      <c r="J2020" s="9"/>
      <c r="K2020" s="9"/>
      <c r="L2020" s="9"/>
    </row>
    <row r="2021" spans="2:12" ht="15" x14ac:dyDescent="0.25">
      <c r="B2021" t="s">
        <v>2102</v>
      </c>
      <c r="C2021" t="s">
        <v>2103</v>
      </c>
      <c r="D2021" t="str">
        <f>HYPERLINK("https://rhld.insurance.arkansas.gov/NPILookup?Npi=1023128840","1023128840")</f>
        <v>1023128840</v>
      </c>
      <c r="E2021" t="s">
        <v>2139</v>
      </c>
      <c r="F2021" t="s">
        <v>12</v>
      </c>
      <c r="G2021" s="20">
        <v>1</v>
      </c>
      <c r="H2021" t="s">
        <v>4349</v>
      </c>
      <c r="I2021" t="s">
        <v>4357</v>
      </c>
      <c r="J2021" s="9"/>
      <c r="K2021" s="9"/>
      <c r="L2021" s="9"/>
    </row>
    <row r="2022" spans="2:12" ht="15" x14ac:dyDescent="0.25">
      <c r="B2022" t="s">
        <v>2102</v>
      </c>
      <c r="C2022" t="s">
        <v>2103</v>
      </c>
      <c r="D2022" t="str">
        <f>HYPERLINK("https://rhld.insurance.arkansas.gov/NPILookup?Npi=1023233400","1023233400")</f>
        <v>1023233400</v>
      </c>
      <c r="E2022" t="s">
        <v>2141</v>
      </c>
      <c r="F2022" t="s">
        <v>12</v>
      </c>
      <c r="G2022" s="20">
        <v>1</v>
      </c>
      <c r="H2022" t="s">
        <v>4349</v>
      </c>
      <c r="I2022" t="s">
        <v>32</v>
      </c>
      <c r="J2022" s="9"/>
      <c r="K2022" s="9"/>
      <c r="L2022" s="9"/>
    </row>
    <row r="2023" spans="2:12" ht="15" x14ac:dyDescent="0.25">
      <c r="B2023" t="s">
        <v>2102</v>
      </c>
      <c r="C2023" t="s">
        <v>2103</v>
      </c>
      <c r="D2023" t="str">
        <f>HYPERLINK("https://rhld.insurance.arkansas.gov/NPILookup?Npi=1023247566","1023247566")</f>
        <v>1023247566</v>
      </c>
      <c r="E2023" t="s">
        <v>2142</v>
      </c>
      <c r="F2023" t="s">
        <v>12</v>
      </c>
      <c r="G2023" s="20">
        <v>1</v>
      </c>
      <c r="H2023" t="s">
        <v>139</v>
      </c>
      <c r="I2023" t="s">
        <v>32</v>
      </c>
      <c r="J2023" s="9"/>
      <c r="K2023" s="9"/>
      <c r="L2023" s="9"/>
    </row>
    <row r="2024" spans="2:12" ht="15" x14ac:dyDescent="0.25">
      <c r="B2024" t="s">
        <v>2102</v>
      </c>
      <c r="C2024" t="s">
        <v>2103</v>
      </c>
      <c r="D2024" t="str">
        <f>HYPERLINK("https://rhld.insurance.arkansas.gov/NPILookup?Npi=1023251634","1023251634")</f>
        <v>1023251634</v>
      </c>
      <c r="E2024" t="s">
        <v>2143</v>
      </c>
      <c r="F2024" t="s">
        <v>12</v>
      </c>
      <c r="G2024" s="20">
        <v>1</v>
      </c>
      <c r="H2024" t="s">
        <v>4338</v>
      </c>
      <c r="I2024" t="s">
        <v>32</v>
      </c>
      <c r="J2024" s="9"/>
      <c r="K2024" s="9"/>
      <c r="L2024" s="9"/>
    </row>
    <row r="2025" spans="2:12" ht="15" x14ac:dyDescent="0.25">
      <c r="B2025" t="s">
        <v>2102</v>
      </c>
      <c r="C2025" t="s">
        <v>2103</v>
      </c>
      <c r="D2025" t="str">
        <f>HYPERLINK("https://rhld.insurance.arkansas.gov/NPILookup?Npi=1023471885","1023471885")</f>
        <v>1023471885</v>
      </c>
      <c r="E2025" t="s">
        <v>2146</v>
      </c>
      <c r="F2025" t="s">
        <v>12</v>
      </c>
      <c r="G2025" s="20">
        <v>1</v>
      </c>
      <c r="H2025" t="s">
        <v>4349</v>
      </c>
      <c r="I2025" t="s">
        <v>32</v>
      </c>
      <c r="J2025" s="9"/>
      <c r="K2025" s="9"/>
      <c r="L2025" s="9"/>
    </row>
    <row r="2026" spans="2:12" ht="15" x14ac:dyDescent="0.25">
      <c r="B2026" t="s">
        <v>2102</v>
      </c>
      <c r="C2026" t="s">
        <v>2103</v>
      </c>
      <c r="D2026" t="str">
        <f>HYPERLINK("https://rhld.insurance.arkansas.gov/NPILookup?Npi=1023535838","1023535838")</f>
        <v>1023535838</v>
      </c>
      <c r="E2026" t="s">
        <v>2148</v>
      </c>
      <c r="F2026" t="s">
        <v>12</v>
      </c>
      <c r="G2026" s="20">
        <v>1</v>
      </c>
      <c r="H2026" t="s">
        <v>4349</v>
      </c>
      <c r="I2026" t="s">
        <v>32</v>
      </c>
      <c r="J2026" s="9"/>
      <c r="K2026" s="9"/>
      <c r="L2026" s="9"/>
    </row>
    <row r="2027" spans="2:12" ht="15" x14ac:dyDescent="0.25">
      <c r="B2027" t="s">
        <v>2102</v>
      </c>
      <c r="C2027" t="s">
        <v>2103</v>
      </c>
      <c r="D2027" t="str">
        <f>HYPERLINK("https://rhld.insurance.arkansas.gov/NPILookup?Npi=1023646403","1023646403")</f>
        <v>1023646403</v>
      </c>
      <c r="E2027" t="s">
        <v>2149</v>
      </c>
      <c r="F2027" t="s">
        <v>12</v>
      </c>
      <c r="G2027" s="20">
        <v>1</v>
      </c>
      <c r="H2027" t="s">
        <v>4349</v>
      </c>
      <c r="I2027" t="s">
        <v>4357</v>
      </c>
      <c r="J2027" s="9"/>
      <c r="K2027" s="9"/>
      <c r="L2027" s="9"/>
    </row>
    <row r="2028" spans="2:12" ht="15" x14ac:dyDescent="0.25">
      <c r="B2028" t="s">
        <v>2102</v>
      </c>
      <c r="C2028" t="s">
        <v>2103</v>
      </c>
      <c r="D2028" t="str">
        <f>HYPERLINK("https://rhld.insurance.arkansas.gov/NPILookup?Npi=1023764289","1023764289")</f>
        <v>1023764289</v>
      </c>
      <c r="E2028" t="s">
        <v>2150</v>
      </c>
      <c r="F2028" t="s">
        <v>13</v>
      </c>
      <c r="G2028" s="20">
        <v>1</v>
      </c>
      <c r="H2028" t="s">
        <v>4357</v>
      </c>
      <c r="I2028" t="s">
        <v>4357</v>
      </c>
      <c r="J2028" s="9"/>
      <c r="K2028" s="9"/>
      <c r="L2028" s="9"/>
    </row>
    <row r="2029" spans="2:12" ht="15" x14ac:dyDescent="0.25">
      <c r="B2029" t="s">
        <v>2102</v>
      </c>
      <c r="C2029" t="s">
        <v>2103</v>
      </c>
      <c r="D2029" t="str">
        <f>HYPERLINK("https://rhld.insurance.arkansas.gov/NPILookup?Npi=1033176250","1033176250")</f>
        <v>1033176250</v>
      </c>
      <c r="E2029" t="s">
        <v>377</v>
      </c>
      <c r="F2029" t="s">
        <v>12</v>
      </c>
      <c r="G2029" s="20">
        <v>1</v>
      </c>
      <c r="H2029" t="s">
        <v>4349</v>
      </c>
      <c r="I2029" t="s">
        <v>4357</v>
      </c>
      <c r="J2029" s="9"/>
      <c r="K2029" s="9"/>
      <c r="L2029" s="9"/>
    </row>
    <row r="2030" spans="2:12" ht="15" x14ac:dyDescent="0.25">
      <c r="B2030" t="s">
        <v>2102</v>
      </c>
      <c r="C2030" t="s">
        <v>2103</v>
      </c>
      <c r="D2030" t="str">
        <f>HYPERLINK("https://rhld.insurance.arkansas.gov/NPILookup?Npi=1033222682","1033222682")</f>
        <v>1033222682</v>
      </c>
      <c r="E2030" t="s">
        <v>2152</v>
      </c>
      <c r="F2030" t="s">
        <v>12</v>
      </c>
      <c r="G2030" s="20">
        <v>1</v>
      </c>
      <c r="H2030" t="s">
        <v>4338</v>
      </c>
      <c r="I2030" t="s">
        <v>32</v>
      </c>
      <c r="J2030" s="9"/>
      <c r="K2030" s="9"/>
      <c r="L2030" s="9"/>
    </row>
    <row r="2031" spans="2:12" ht="15" x14ac:dyDescent="0.25">
      <c r="B2031" t="s">
        <v>2102</v>
      </c>
      <c r="C2031" t="s">
        <v>2103</v>
      </c>
      <c r="D2031" t="str">
        <f>HYPERLINK("https://rhld.insurance.arkansas.gov/NPILookup?Npi=1033421417","1033421417")</f>
        <v>1033421417</v>
      </c>
      <c r="E2031" t="s">
        <v>2153</v>
      </c>
      <c r="F2031" t="s">
        <v>12</v>
      </c>
      <c r="G2031" s="20">
        <v>1</v>
      </c>
      <c r="H2031" t="s">
        <v>4349</v>
      </c>
      <c r="I2031" t="s">
        <v>4357</v>
      </c>
      <c r="J2031" s="9"/>
      <c r="K2031" s="9"/>
      <c r="L2031" s="9"/>
    </row>
    <row r="2032" spans="2:12" ht="15" x14ac:dyDescent="0.25">
      <c r="B2032" t="s">
        <v>2102</v>
      </c>
      <c r="C2032" t="s">
        <v>2103</v>
      </c>
      <c r="D2032" t="str">
        <f>HYPERLINK("https://rhld.insurance.arkansas.gov/NPILookup?Npi=1033435540","1033435540")</f>
        <v>1033435540</v>
      </c>
      <c r="E2032" t="s">
        <v>382</v>
      </c>
      <c r="F2032" t="s">
        <v>12</v>
      </c>
      <c r="G2032" s="20">
        <v>1</v>
      </c>
      <c r="H2032" t="s">
        <v>4338</v>
      </c>
      <c r="I2032" t="s">
        <v>4357</v>
      </c>
      <c r="J2032" s="9"/>
      <c r="K2032" s="9"/>
      <c r="L2032" s="9"/>
    </row>
    <row r="2033" spans="2:12" ht="15" x14ac:dyDescent="0.25">
      <c r="B2033" t="s">
        <v>2102</v>
      </c>
      <c r="C2033" t="s">
        <v>2103</v>
      </c>
      <c r="D2033" t="str">
        <f>HYPERLINK("https://rhld.insurance.arkansas.gov/NPILookup?Npi=1033497888","1033497888")</f>
        <v>1033497888</v>
      </c>
      <c r="E2033" t="s">
        <v>4472</v>
      </c>
      <c r="F2033" t="s">
        <v>12</v>
      </c>
      <c r="G2033" s="20">
        <v>1</v>
      </c>
      <c r="H2033" t="s">
        <v>4349</v>
      </c>
      <c r="I2033" t="s">
        <v>32</v>
      </c>
      <c r="J2033" s="9"/>
      <c r="K2033" s="9"/>
      <c r="L2033" s="9"/>
    </row>
    <row r="2034" spans="2:12" ht="15" x14ac:dyDescent="0.25">
      <c r="B2034" t="s">
        <v>2102</v>
      </c>
      <c r="C2034" t="s">
        <v>2103</v>
      </c>
      <c r="D2034" t="str">
        <f>HYPERLINK("https://rhld.insurance.arkansas.gov/NPILookup?Npi=1033615737","1033615737")</f>
        <v>1033615737</v>
      </c>
      <c r="E2034" t="s">
        <v>2154</v>
      </c>
      <c r="F2034" t="s">
        <v>12</v>
      </c>
      <c r="G2034" s="20">
        <v>1</v>
      </c>
      <c r="H2034" t="s">
        <v>4349</v>
      </c>
      <c r="I2034" t="s">
        <v>32</v>
      </c>
      <c r="J2034" s="9"/>
      <c r="K2034" s="9"/>
      <c r="L2034" s="9"/>
    </row>
    <row r="2035" spans="2:12" ht="15" x14ac:dyDescent="0.25">
      <c r="B2035" t="s">
        <v>2102</v>
      </c>
      <c r="C2035" t="s">
        <v>2103</v>
      </c>
      <c r="D2035" t="str">
        <f>HYPERLINK("https://rhld.insurance.arkansas.gov/NPILookup?Npi=1033619077","1033619077")</f>
        <v>1033619077</v>
      </c>
      <c r="E2035" t="s">
        <v>1530</v>
      </c>
      <c r="F2035" t="s">
        <v>12</v>
      </c>
      <c r="G2035" s="20">
        <v>1</v>
      </c>
      <c r="H2035" t="s">
        <v>4338</v>
      </c>
      <c r="I2035" t="s">
        <v>4357</v>
      </c>
      <c r="J2035" s="9"/>
      <c r="K2035" s="9"/>
      <c r="L2035" s="9"/>
    </row>
    <row r="2036" spans="2:12" ht="15" x14ac:dyDescent="0.25">
      <c r="B2036" t="s">
        <v>2102</v>
      </c>
      <c r="C2036" t="s">
        <v>2103</v>
      </c>
      <c r="D2036" t="str">
        <f>HYPERLINK("https://rhld.insurance.arkansas.gov/NPILookup?Npi=1033699855","1033699855")</f>
        <v>1033699855</v>
      </c>
      <c r="E2036" t="s">
        <v>2155</v>
      </c>
      <c r="F2036" t="s">
        <v>13</v>
      </c>
      <c r="G2036" s="20">
        <v>1</v>
      </c>
      <c r="H2036" t="s">
        <v>4357</v>
      </c>
      <c r="I2036" t="s">
        <v>4357</v>
      </c>
      <c r="J2036" s="9"/>
      <c r="K2036" s="9"/>
      <c r="L2036" s="9"/>
    </row>
    <row r="2037" spans="2:12" ht="15" x14ac:dyDescent="0.25">
      <c r="B2037" t="s">
        <v>2102</v>
      </c>
      <c r="C2037" t="s">
        <v>2103</v>
      </c>
      <c r="D2037" t="str">
        <f>HYPERLINK("https://rhld.insurance.arkansas.gov/NPILookup?Npi=1033739404","1033739404")</f>
        <v>1033739404</v>
      </c>
      <c r="E2037" t="s">
        <v>2156</v>
      </c>
      <c r="F2037" t="s">
        <v>12</v>
      </c>
      <c r="G2037" s="20">
        <v>1</v>
      </c>
      <c r="H2037" t="s">
        <v>4349</v>
      </c>
      <c r="I2037" t="s">
        <v>4357</v>
      </c>
      <c r="J2037" s="9"/>
      <c r="K2037" s="9"/>
      <c r="L2037" s="9"/>
    </row>
    <row r="2038" spans="2:12" ht="15" x14ac:dyDescent="0.25">
      <c r="B2038" t="s">
        <v>2102</v>
      </c>
      <c r="C2038" t="s">
        <v>2103</v>
      </c>
      <c r="D2038" t="str">
        <f>HYPERLINK("https://rhld.insurance.arkansas.gov/NPILookup?Npi=1033847975","1033847975")</f>
        <v>1033847975</v>
      </c>
      <c r="E2038" t="s">
        <v>2157</v>
      </c>
      <c r="F2038" t="s">
        <v>13</v>
      </c>
      <c r="G2038" s="20">
        <v>1</v>
      </c>
      <c r="H2038" t="s">
        <v>4357</v>
      </c>
      <c r="I2038" t="s">
        <v>32</v>
      </c>
      <c r="J2038" s="9"/>
      <c r="K2038" s="9"/>
      <c r="L2038" s="9"/>
    </row>
    <row r="2039" spans="2:12" ht="15" x14ac:dyDescent="0.25">
      <c r="B2039" t="s">
        <v>2102</v>
      </c>
      <c r="C2039" t="s">
        <v>2103</v>
      </c>
      <c r="D2039" t="str">
        <f>HYPERLINK("https://rhld.insurance.arkansas.gov/NPILookup?Npi=1033926001","1033926001")</f>
        <v>1033926001</v>
      </c>
      <c r="E2039" t="s">
        <v>2158</v>
      </c>
      <c r="F2039" t="s">
        <v>13</v>
      </c>
      <c r="G2039" s="20">
        <v>1</v>
      </c>
      <c r="H2039" t="s">
        <v>4357</v>
      </c>
      <c r="I2039" t="s">
        <v>4357</v>
      </c>
      <c r="J2039" s="9"/>
      <c r="K2039" s="9"/>
      <c r="L2039" s="9"/>
    </row>
    <row r="2040" spans="2:12" ht="15" x14ac:dyDescent="0.25">
      <c r="B2040" t="s">
        <v>2102</v>
      </c>
      <c r="C2040" t="s">
        <v>2103</v>
      </c>
      <c r="D2040" t="str">
        <f>HYPERLINK("https://rhld.insurance.arkansas.gov/NPILookup?Npi=1033930656","1033930656")</f>
        <v>1033930656</v>
      </c>
      <c r="E2040" t="s">
        <v>2159</v>
      </c>
      <c r="F2040" t="s">
        <v>13</v>
      </c>
      <c r="G2040" s="20">
        <v>2</v>
      </c>
      <c r="H2040" t="s">
        <v>439</v>
      </c>
      <c r="I2040" t="s">
        <v>4357</v>
      </c>
      <c r="J2040" s="9"/>
      <c r="K2040" s="9"/>
      <c r="L2040" s="9"/>
    </row>
    <row r="2041" spans="2:12" ht="15" x14ac:dyDescent="0.25">
      <c r="B2041" t="s">
        <v>2102</v>
      </c>
      <c r="C2041" t="s">
        <v>2103</v>
      </c>
      <c r="D2041" t="str">
        <f>HYPERLINK("https://rhld.insurance.arkansas.gov/NPILookup?Npi=1033949409","1033949409")</f>
        <v>1033949409</v>
      </c>
      <c r="E2041" t="s">
        <v>2160</v>
      </c>
      <c r="F2041" t="s">
        <v>13</v>
      </c>
      <c r="G2041" s="20">
        <v>1</v>
      </c>
      <c r="H2041" t="s">
        <v>4357</v>
      </c>
      <c r="I2041" t="s">
        <v>4357</v>
      </c>
      <c r="J2041" s="9"/>
      <c r="K2041" s="9"/>
      <c r="L2041" s="9"/>
    </row>
    <row r="2042" spans="2:12" ht="15" x14ac:dyDescent="0.25">
      <c r="B2042" t="s">
        <v>2102</v>
      </c>
      <c r="C2042" t="s">
        <v>2103</v>
      </c>
      <c r="D2042" t="str">
        <f>HYPERLINK("https://rhld.insurance.arkansas.gov/NPILookup?Npi=1033960265","1033960265")</f>
        <v>1033960265</v>
      </c>
      <c r="E2042" t="s">
        <v>2161</v>
      </c>
      <c r="F2042" t="s">
        <v>13</v>
      </c>
      <c r="G2042" s="20">
        <v>1</v>
      </c>
      <c r="H2042" t="s">
        <v>4357</v>
      </c>
      <c r="I2042" t="s">
        <v>4357</v>
      </c>
      <c r="J2042" s="9"/>
      <c r="K2042" s="9"/>
      <c r="L2042" s="9"/>
    </row>
    <row r="2043" spans="2:12" ht="15" x14ac:dyDescent="0.25">
      <c r="B2043" t="s">
        <v>2102</v>
      </c>
      <c r="C2043" t="s">
        <v>2103</v>
      </c>
      <c r="D2043" t="str">
        <f>HYPERLINK("https://rhld.insurance.arkansas.gov/NPILookup?Npi=1043028939","1043028939")</f>
        <v>1043028939</v>
      </c>
      <c r="E2043" t="s">
        <v>2162</v>
      </c>
      <c r="F2043" t="s">
        <v>13</v>
      </c>
      <c r="G2043" s="20">
        <v>1</v>
      </c>
      <c r="H2043" t="s">
        <v>4357</v>
      </c>
      <c r="I2043" t="s">
        <v>4357</v>
      </c>
      <c r="J2043" s="9"/>
      <c r="K2043" s="9"/>
      <c r="L2043" s="9"/>
    </row>
    <row r="2044" spans="2:12" ht="15" x14ac:dyDescent="0.25">
      <c r="B2044" t="s">
        <v>2102</v>
      </c>
      <c r="C2044" t="s">
        <v>2103</v>
      </c>
      <c r="D2044" t="str">
        <f>HYPERLINK("https://rhld.insurance.arkansas.gov/NPILookup?Npi=1043048200","1043048200")</f>
        <v>1043048200</v>
      </c>
      <c r="E2044" t="s">
        <v>2163</v>
      </c>
      <c r="F2044" t="s">
        <v>13</v>
      </c>
      <c r="G2044" s="20">
        <v>1</v>
      </c>
      <c r="H2044" t="s">
        <v>4357</v>
      </c>
      <c r="I2044" t="s">
        <v>4357</v>
      </c>
      <c r="J2044" s="9"/>
      <c r="K2044" s="9"/>
      <c r="L2044" s="9"/>
    </row>
    <row r="2045" spans="2:12" ht="15" x14ac:dyDescent="0.25">
      <c r="B2045" t="s">
        <v>2102</v>
      </c>
      <c r="C2045" t="s">
        <v>2103</v>
      </c>
      <c r="D2045" t="str">
        <f>HYPERLINK("https://rhld.insurance.arkansas.gov/NPILookup?Npi=1043214323","1043214323")</f>
        <v>1043214323</v>
      </c>
      <c r="E2045" t="s">
        <v>2164</v>
      </c>
      <c r="F2045" t="s">
        <v>12</v>
      </c>
      <c r="G2045" s="20">
        <v>1</v>
      </c>
      <c r="H2045" t="s">
        <v>4338</v>
      </c>
      <c r="I2045" t="s">
        <v>32</v>
      </c>
      <c r="J2045" s="9"/>
      <c r="K2045" s="9"/>
      <c r="L2045" s="9"/>
    </row>
    <row r="2046" spans="2:12" ht="15" x14ac:dyDescent="0.25">
      <c r="B2046" t="s">
        <v>2102</v>
      </c>
      <c r="C2046" t="s">
        <v>2103</v>
      </c>
      <c r="D2046" t="str">
        <f>HYPERLINK("https://rhld.insurance.arkansas.gov/NPILookup?Npi=1043352057","1043352057")</f>
        <v>1043352057</v>
      </c>
      <c r="E2046" t="s">
        <v>2165</v>
      </c>
      <c r="F2046" t="s">
        <v>12</v>
      </c>
      <c r="G2046" s="20">
        <v>1</v>
      </c>
      <c r="H2046" t="s">
        <v>4349</v>
      </c>
      <c r="I2046" t="s">
        <v>4357</v>
      </c>
      <c r="J2046" s="9"/>
      <c r="K2046" s="9"/>
      <c r="L2046" s="9"/>
    </row>
    <row r="2047" spans="2:12" ht="15" x14ac:dyDescent="0.25">
      <c r="B2047" t="s">
        <v>2102</v>
      </c>
      <c r="C2047" t="s">
        <v>2103</v>
      </c>
      <c r="D2047" t="str">
        <f>HYPERLINK("https://rhld.insurance.arkansas.gov/NPILookup?Npi=1043434202","1043434202")</f>
        <v>1043434202</v>
      </c>
      <c r="E2047" t="s">
        <v>2166</v>
      </c>
      <c r="F2047" t="s">
        <v>12</v>
      </c>
      <c r="G2047" s="20">
        <v>1</v>
      </c>
      <c r="H2047" t="s">
        <v>4349</v>
      </c>
      <c r="I2047" t="s">
        <v>32</v>
      </c>
      <c r="J2047" s="9"/>
      <c r="K2047" s="9"/>
      <c r="L2047" s="9"/>
    </row>
    <row r="2048" spans="2:12" ht="15" x14ac:dyDescent="0.25">
      <c r="B2048" t="s">
        <v>2102</v>
      </c>
      <c r="C2048" t="s">
        <v>2103</v>
      </c>
      <c r="D2048" t="str">
        <f>HYPERLINK("https://rhld.insurance.arkansas.gov/NPILookup?Npi=1043517923","1043517923")</f>
        <v>1043517923</v>
      </c>
      <c r="E2048" t="s">
        <v>2167</v>
      </c>
      <c r="F2048" t="s">
        <v>12</v>
      </c>
      <c r="G2048" s="20">
        <v>1</v>
      </c>
      <c r="H2048" t="s">
        <v>4338</v>
      </c>
      <c r="I2048" t="s">
        <v>32</v>
      </c>
      <c r="J2048" s="9"/>
      <c r="K2048" s="9"/>
      <c r="L2048" s="9"/>
    </row>
    <row r="2049" spans="2:12" ht="15" x14ac:dyDescent="0.25">
      <c r="B2049" t="s">
        <v>2102</v>
      </c>
      <c r="C2049" t="s">
        <v>2103</v>
      </c>
      <c r="D2049" t="str">
        <f>HYPERLINK("https://rhld.insurance.arkansas.gov/NPILookup?Npi=1043521974","1043521974")</f>
        <v>1043521974</v>
      </c>
      <c r="E2049" t="s">
        <v>2168</v>
      </c>
      <c r="F2049" t="s">
        <v>12</v>
      </c>
      <c r="G2049" s="20">
        <v>1</v>
      </c>
      <c r="H2049" t="s">
        <v>4349</v>
      </c>
      <c r="I2049" t="s">
        <v>4357</v>
      </c>
      <c r="J2049" s="9"/>
      <c r="K2049" s="9"/>
      <c r="L2049" s="9"/>
    </row>
    <row r="2050" spans="2:12" ht="15" x14ac:dyDescent="0.25">
      <c r="B2050" t="s">
        <v>2102</v>
      </c>
      <c r="C2050" t="s">
        <v>2103</v>
      </c>
      <c r="D2050" t="str">
        <f>HYPERLINK("https://rhld.insurance.arkansas.gov/NPILookup?Npi=1043563398","1043563398")</f>
        <v>1043563398</v>
      </c>
      <c r="E2050" t="s">
        <v>2169</v>
      </c>
      <c r="F2050" t="s">
        <v>12</v>
      </c>
      <c r="G2050" s="20">
        <v>1</v>
      </c>
      <c r="H2050" t="s">
        <v>4349</v>
      </c>
      <c r="I2050" t="s">
        <v>32</v>
      </c>
      <c r="J2050" s="9"/>
      <c r="K2050" s="9"/>
      <c r="L2050" s="9"/>
    </row>
    <row r="2051" spans="2:12" ht="15" x14ac:dyDescent="0.25">
      <c r="B2051" t="s">
        <v>2102</v>
      </c>
      <c r="C2051" t="s">
        <v>2103</v>
      </c>
      <c r="D2051" t="str">
        <f>HYPERLINK("https://rhld.insurance.arkansas.gov/NPILookup?Npi=1043604804","1043604804")</f>
        <v>1043604804</v>
      </c>
      <c r="E2051" t="s">
        <v>2170</v>
      </c>
      <c r="F2051" t="s">
        <v>13</v>
      </c>
      <c r="G2051" s="20">
        <v>1</v>
      </c>
      <c r="H2051" t="s">
        <v>4357</v>
      </c>
      <c r="I2051" t="s">
        <v>4357</v>
      </c>
      <c r="J2051" s="9"/>
      <c r="K2051" s="9"/>
      <c r="L2051" s="9"/>
    </row>
    <row r="2052" spans="2:12" ht="15" x14ac:dyDescent="0.25">
      <c r="B2052" t="s">
        <v>2102</v>
      </c>
      <c r="C2052" t="s">
        <v>2103</v>
      </c>
      <c r="D2052" t="str">
        <f>HYPERLINK("https://rhld.insurance.arkansas.gov/NPILookup?Npi=1043648843","1043648843")</f>
        <v>1043648843</v>
      </c>
      <c r="E2052" t="s">
        <v>1748</v>
      </c>
      <c r="F2052" t="s">
        <v>12</v>
      </c>
      <c r="G2052" s="20">
        <v>1</v>
      </c>
      <c r="H2052" t="s">
        <v>4338</v>
      </c>
      <c r="I2052" t="s">
        <v>32</v>
      </c>
      <c r="J2052" s="9"/>
      <c r="K2052" s="9"/>
      <c r="L2052" s="9"/>
    </row>
    <row r="2053" spans="2:12" ht="15" x14ac:dyDescent="0.25">
      <c r="B2053" t="s">
        <v>2102</v>
      </c>
      <c r="C2053" t="s">
        <v>2103</v>
      </c>
      <c r="D2053" t="str">
        <f>HYPERLINK("https://rhld.insurance.arkansas.gov/NPILookup?Npi=1043671571","1043671571")</f>
        <v>1043671571</v>
      </c>
      <c r="E2053" t="s">
        <v>2171</v>
      </c>
      <c r="F2053" t="s">
        <v>12</v>
      </c>
      <c r="G2053" s="20">
        <v>1</v>
      </c>
      <c r="H2053" t="s">
        <v>4349</v>
      </c>
      <c r="I2053" t="s">
        <v>4357</v>
      </c>
      <c r="J2053" s="9"/>
      <c r="K2053" s="9"/>
      <c r="L2053" s="9"/>
    </row>
    <row r="2054" spans="2:12" ht="15" x14ac:dyDescent="0.25">
      <c r="B2054" t="s">
        <v>2102</v>
      </c>
      <c r="C2054" t="s">
        <v>2103</v>
      </c>
      <c r="D2054" t="str">
        <f>HYPERLINK("https://rhld.insurance.arkansas.gov/NPILookup?Npi=1043694490","1043694490")</f>
        <v>1043694490</v>
      </c>
      <c r="E2054" t="s">
        <v>4473</v>
      </c>
      <c r="F2054" t="s">
        <v>12</v>
      </c>
      <c r="G2054" s="20">
        <v>1</v>
      </c>
      <c r="H2054" t="s">
        <v>4349</v>
      </c>
      <c r="I2054" t="s">
        <v>4357</v>
      </c>
      <c r="J2054" s="9"/>
      <c r="K2054" s="9"/>
      <c r="L2054" s="9"/>
    </row>
    <row r="2055" spans="2:12" ht="15" x14ac:dyDescent="0.25">
      <c r="B2055" t="s">
        <v>2102</v>
      </c>
      <c r="C2055" t="s">
        <v>2103</v>
      </c>
      <c r="D2055" t="str">
        <f>HYPERLINK("https://rhld.insurance.arkansas.gov/NPILookup?Npi=1043740368","1043740368")</f>
        <v>1043740368</v>
      </c>
      <c r="E2055" t="s">
        <v>941</v>
      </c>
      <c r="F2055" t="s">
        <v>12</v>
      </c>
      <c r="G2055" s="20">
        <v>1</v>
      </c>
      <c r="H2055" t="s">
        <v>4349</v>
      </c>
      <c r="I2055" t="s">
        <v>32</v>
      </c>
      <c r="J2055" s="9"/>
      <c r="K2055" s="9"/>
      <c r="L2055" s="9"/>
    </row>
    <row r="2056" spans="2:12" ht="15" x14ac:dyDescent="0.25">
      <c r="B2056" t="s">
        <v>2102</v>
      </c>
      <c r="C2056" t="s">
        <v>2103</v>
      </c>
      <c r="D2056" t="str">
        <f>HYPERLINK("https://rhld.insurance.arkansas.gov/NPILookup?Npi=1043773237","1043773237")</f>
        <v>1043773237</v>
      </c>
      <c r="E2056" t="s">
        <v>2173</v>
      </c>
      <c r="F2056" t="s">
        <v>12</v>
      </c>
      <c r="G2056" s="20">
        <v>1</v>
      </c>
      <c r="H2056" t="s">
        <v>4338</v>
      </c>
      <c r="I2056" t="s">
        <v>32</v>
      </c>
      <c r="J2056" s="9"/>
      <c r="K2056" s="9"/>
      <c r="L2056" s="9"/>
    </row>
    <row r="2057" spans="2:12" ht="15" x14ac:dyDescent="0.25">
      <c r="B2057" t="s">
        <v>2102</v>
      </c>
      <c r="C2057" t="s">
        <v>2103</v>
      </c>
      <c r="D2057" t="str">
        <f>HYPERLINK("https://rhld.insurance.arkansas.gov/NPILookup?Npi=1043795958","1043795958")</f>
        <v>1043795958</v>
      </c>
      <c r="E2057" t="s">
        <v>2174</v>
      </c>
      <c r="F2057" t="s">
        <v>12</v>
      </c>
      <c r="G2057" s="20">
        <v>1</v>
      </c>
      <c r="H2057" t="s">
        <v>4338</v>
      </c>
      <c r="I2057" t="s">
        <v>32</v>
      </c>
      <c r="J2057" s="9"/>
      <c r="K2057" s="9"/>
      <c r="L2057" s="9"/>
    </row>
    <row r="2058" spans="2:12" ht="15" x14ac:dyDescent="0.25">
      <c r="B2058" t="s">
        <v>2102</v>
      </c>
      <c r="C2058" t="s">
        <v>2103</v>
      </c>
      <c r="D2058" t="str">
        <f>HYPERLINK("https://rhld.insurance.arkansas.gov/NPILookup?Npi=1043885098","1043885098")</f>
        <v>1043885098</v>
      </c>
      <c r="E2058" t="s">
        <v>2175</v>
      </c>
      <c r="F2058" t="s">
        <v>13</v>
      </c>
      <c r="G2058" s="20">
        <v>2</v>
      </c>
      <c r="H2058" t="s">
        <v>439</v>
      </c>
      <c r="I2058" t="s">
        <v>4357</v>
      </c>
      <c r="J2058" s="9"/>
      <c r="K2058" s="9"/>
      <c r="L2058" s="9"/>
    </row>
    <row r="2059" spans="2:12" ht="15" x14ac:dyDescent="0.25">
      <c r="B2059" t="s">
        <v>2102</v>
      </c>
      <c r="C2059" t="s">
        <v>2103</v>
      </c>
      <c r="D2059" t="str">
        <f>HYPERLINK("https://rhld.insurance.arkansas.gov/NPILookup?Npi=1043978422","1043978422")</f>
        <v>1043978422</v>
      </c>
      <c r="E2059" t="s">
        <v>2176</v>
      </c>
      <c r="F2059" t="s">
        <v>12</v>
      </c>
      <c r="G2059" s="20">
        <v>1</v>
      </c>
      <c r="H2059" t="s">
        <v>4338</v>
      </c>
      <c r="I2059" t="s">
        <v>32</v>
      </c>
      <c r="J2059" s="9"/>
      <c r="K2059" s="9"/>
      <c r="L2059" s="9"/>
    </row>
    <row r="2060" spans="2:12" ht="15" x14ac:dyDescent="0.25">
      <c r="B2060" t="s">
        <v>2102</v>
      </c>
      <c r="C2060" t="s">
        <v>2103</v>
      </c>
      <c r="D2060" t="str">
        <f>HYPERLINK("https://rhld.insurance.arkansas.gov/NPILookup?Npi=1053094532","1053094532")</f>
        <v>1053094532</v>
      </c>
      <c r="E2060" t="s">
        <v>2177</v>
      </c>
      <c r="F2060" t="s">
        <v>13</v>
      </c>
      <c r="G2060" s="20">
        <v>2</v>
      </c>
      <c r="H2060" t="s">
        <v>439</v>
      </c>
      <c r="I2060" t="s">
        <v>4357</v>
      </c>
      <c r="J2060" s="9"/>
      <c r="K2060" s="9"/>
      <c r="L2060" s="9"/>
    </row>
    <row r="2061" spans="2:12" ht="15" x14ac:dyDescent="0.25">
      <c r="B2061" t="s">
        <v>2102</v>
      </c>
      <c r="C2061" t="s">
        <v>2103</v>
      </c>
      <c r="D2061" t="str">
        <f>HYPERLINK("https://rhld.insurance.arkansas.gov/NPILookup?Npi=1053120329","1053120329")</f>
        <v>1053120329</v>
      </c>
      <c r="E2061" t="s">
        <v>2178</v>
      </c>
      <c r="F2061" t="s">
        <v>13</v>
      </c>
      <c r="G2061" s="20">
        <v>2</v>
      </c>
      <c r="H2061" t="s">
        <v>439</v>
      </c>
      <c r="I2061" t="s">
        <v>4357</v>
      </c>
      <c r="J2061" s="9"/>
      <c r="K2061" s="9"/>
      <c r="L2061" s="9"/>
    </row>
    <row r="2062" spans="2:12" ht="15" x14ac:dyDescent="0.25">
      <c r="B2062" t="s">
        <v>2102</v>
      </c>
      <c r="C2062" t="s">
        <v>2103</v>
      </c>
      <c r="D2062" t="str">
        <f>HYPERLINK("https://rhld.insurance.arkansas.gov/NPILookup?Npi=1053303750","1053303750")</f>
        <v>1053303750</v>
      </c>
      <c r="E2062" t="s">
        <v>4474</v>
      </c>
      <c r="F2062" t="s">
        <v>12</v>
      </c>
      <c r="G2062" s="20">
        <v>1</v>
      </c>
      <c r="H2062" t="s">
        <v>4349</v>
      </c>
      <c r="I2062" t="s">
        <v>32</v>
      </c>
      <c r="J2062" s="9"/>
      <c r="K2062" s="9"/>
      <c r="L2062" s="9"/>
    </row>
    <row r="2063" spans="2:12" ht="15" x14ac:dyDescent="0.25">
      <c r="B2063" t="s">
        <v>2102</v>
      </c>
      <c r="C2063" t="s">
        <v>2103</v>
      </c>
      <c r="D2063" t="str">
        <f>HYPERLINK("https://rhld.insurance.arkansas.gov/NPILookup?Npi=1053328955","1053328955")</f>
        <v>1053328955</v>
      </c>
      <c r="E2063" t="s">
        <v>2179</v>
      </c>
      <c r="F2063" t="s">
        <v>12</v>
      </c>
      <c r="G2063" s="20">
        <v>1</v>
      </c>
      <c r="H2063" t="s">
        <v>4338</v>
      </c>
      <c r="I2063" t="s">
        <v>32</v>
      </c>
      <c r="J2063" s="9"/>
      <c r="K2063" s="9"/>
      <c r="L2063" s="9"/>
    </row>
    <row r="2064" spans="2:12" ht="15" x14ac:dyDescent="0.25">
      <c r="B2064" t="s">
        <v>2102</v>
      </c>
      <c r="C2064" t="s">
        <v>2103</v>
      </c>
      <c r="D2064" t="str">
        <f>HYPERLINK("https://rhld.insurance.arkansas.gov/NPILookup?Npi=1053359877","1053359877")</f>
        <v>1053359877</v>
      </c>
      <c r="E2064" t="s">
        <v>2180</v>
      </c>
      <c r="F2064" t="s">
        <v>12</v>
      </c>
      <c r="G2064" s="20">
        <v>1</v>
      </c>
      <c r="H2064" t="s">
        <v>4338</v>
      </c>
      <c r="I2064" t="s">
        <v>32</v>
      </c>
      <c r="J2064" s="9"/>
      <c r="K2064" s="9"/>
      <c r="L2064" s="9"/>
    </row>
    <row r="2065" spans="2:12" ht="15" x14ac:dyDescent="0.25">
      <c r="B2065" t="s">
        <v>2102</v>
      </c>
      <c r="C2065" t="s">
        <v>2103</v>
      </c>
      <c r="D2065" t="str">
        <f>HYPERLINK("https://rhld.insurance.arkansas.gov/NPILookup?Npi=1053423350","1053423350")</f>
        <v>1053423350</v>
      </c>
      <c r="E2065" t="s">
        <v>4475</v>
      </c>
      <c r="F2065" t="s">
        <v>12</v>
      </c>
      <c r="G2065" s="20">
        <v>1</v>
      </c>
      <c r="H2065" t="s">
        <v>4349</v>
      </c>
      <c r="I2065" t="s">
        <v>32</v>
      </c>
      <c r="J2065" s="9"/>
      <c r="K2065" s="9"/>
      <c r="L2065" s="9"/>
    </row>
    <row r="2066" spans="2:12" ht="15" x14ac:dyDescent="0.25">
      <c r="B2066" t="s">
        <v>2102</v>
      </c>
      <c r="C2066" t="s">
        <v>2103</v>
      </c>
      <c r="D2066" t="str">
        <f>HYPERLINK("https://rhld.insurance.arkansas.gov/NPILookup?Npi=1053514455","1053514455")</f>
        <v>1053514455</v>
      </c>
      <c r="E2066" t="s">
        <v>2181</v>
      </c>
      <c r="F2066" t="s">
        <v>12</v>
      </c>
      <c r="G2066" s="20">
        <v>1</v>
      </c>
      <c r="H2066" t="s">
        <v>4349</v>
      </c>
      <c r="I2066" t="s">
        <v>32</v>
      </c>
      <c r="J2066" s="9"/>
      <c r="K2066" s="9"/>
      <c r="L2066" s="9"/>
    </row>
    <row r="2067" spans="2:12" ht="15" x14ac:dyDescent="0.25">
      <c r="B2067" t="s">
        <v>2102</v>
      </c>
      <c r="C2067" t="s">
        <v>2103</v>
      </c>
      <c r="D2067" t="str">
        <f>HYPERLINK("https://rhld.insurance.arkansas.gov/NPILookup?Npi=1053529321","1053529321")</f>
        <v>1053529321</v>
      </c>
      <c r="E2067" t="s">
        <v>4476</v>
      </c>
      <c r="F2067" t="s">
        <v>12</v>
      </c>
      <c r="G2067" s="20">
        <v>1</v>
      </c>
      <c r="H2067" t="s">
        <v>4349</v>
      </c>
      <c r="I2067" t="s">
        <v>32</v>
      </c>
      <c r="J2067" s="9"/>
      <c r="K2067" s="9"/>
      <c r="L2067" s="9"/>
    </row>
    <row r="2068" spans="2:12" ht="15" x14ac:dyDescent="0.25">
      <c r="B2068" t="s">
        <v>2102</v>
      </c>
      <c r="C2068" t="s">
        <v>2103</v>
      </c>
      <c r="D2068" t="str">
        <f>HYPERLINK("https://rhld.insurance.arkansas.gov/NPILookup?Npi=1053553495","1053553495")</f>
        <v>1053553495</v>
      </c>
      <c r="E2068" t="s">
        <v>2182</v>
      </c>
      <c r="F2068" t="s">
        <v>12</v>
      </c>
      <c r="G2068" s="20">
        <v>1</v>
      </c>
      <c r="H2068" t="s">
        <v>4338</v>
      </c>
      <c r="I2068" t="s">
        <v>32</v>
      </c>
      <c r="J2068" s="9"/>
      <c r="K2068" s="9"/>
      <c r="L2068" s="9"/>
    </row>
    <row r="2069" spans="2:12" ht="15" x14ac:dyDescent="0.25">
      <c r="B2069" t="s">
        <v>2102</v>
      </c>
      <c r="C2069" t="s">
        <v>2103</v>
      </c>
      <c r="D2069" t="str">
        <f>HYPERLINK("https://rhld.insurance.arkansas.gov/NPILookup?Npi=1053575597","1053575597")</f>
        <v>1053575597</v>
      </c>
      <c r="E2069" t="s">
        <v>2183</v>
      </c>
      <c r="F2069" t="s">
        <v>12</v>
      </c>
      <c r="G2069" s="20">
        <v>1</v>
      </c>
      <c r="H2069" t="s">
        <v>139</v>
      </c>
      <c r="I2069" t="s">
        <v>32</v>
      </c>
      <c r="J2069" s="9"/>
      <c r="K2069" s="9"/>
      <c r="L2069" s="9"/>
    </row>
    <row r="2070" spans="2:12" ht="15" x14ac:dyDescent="0.25">
      <c r="B2070" t="s">
        <v>2102</v>
      </c>
      <c r="C2070" t="s">
        <v>2103</v>
      </c>
      <c r="D2070" t="str">
        <f>HYPERLINK("https://rhld.insurance.arkansas.gov/NPILookup?Npi=1053653576","1053653576")</f>
        <v>1053653576</v>
      </c>
      <c r="E2070" t="s">
        <v>2184</v>
      </c>
      <c r="F2070" t="s">
        <v>12</v>
      </c>
      <c r="G2070" s="20">
        <v>1</v>
      </c>
      <c r="H2070" t="s">
        <v>4349</v>
      </c>
      <c r="I2070" t="s">
        <v>32</v>
      </c>
      <c r="J2070" s="9"/>
      <c r="K2070" s="9"/>
      <c r="L2070" s="9"/>
    </row>
    <row r="2071" spans="2:12" ht="15" x14ac:dyDescent="0.25">
      <c r="B2071" t="s">
        <v>2102</v>
      </c>
      <c r="C2071" t="s">
        <v>2103</v>
      </c>
      <c r="D2071" t="str">
        <f>HYPERLINK("https://rhld.insurance.arkansas.gov/NPILookup?Npi=1053734657","1053734657")</f>
        <v>1053734657</v>
      </c>
      <c r="E2071" t="s">
        <v>2185</v>
      </c>
      <c r="F2071" t="s">
        <v>12</v>
      </c>
      <c r="G2071" s="20">
        <v>1</v>
      </c>
      <c r="H2071" t="s">
        <v>4349</v>
      </c>
      <c r="I2071" t="s">
        <v>32</v>
      </c>
      <c r="J2071" s="9"/>
      <c r="K2071" s="9"/>
      <c r="L2071" s="9"/>
    </row>
    <row r="2072" spans="2:12" ht="15" x14ac:dyDescent="0.25">
      <c r="B2072" t="s">
        <v>2102</v>
      </c>
      <c r="C2072" t="s">
        <v>2103</v>
      </c>
      <c r="D2072" t="str">
        <f>HYPERLINK("https://rhld.insurance.arkansas.gov/NPILookup?Npi=1053761924","1053761924")</f>
        <v>1053761924</v>
      </c>
      <c r="E2072" t="s">
        <v>2186</v>
      </c>
      <c r="F2072" t="s">
        <v>12</v>
      </c>
      <c r="G2072" s="20">
        <v>1</v>
      </c>
      <c r="H2072" t="s">
        <v>1691</v>
      </c>
      <c r="I2072" t="s">
        <v>32</v>
      </c>
      <c r="J2072" s="9"/>
      <c r="K2072" s="9"/>
      <c r="L2072" s="9"/>
    </row>
    <row r="2073" spans="2:12" ht="15" x14ac:dyDescent="0.25">
      <c r="B2073" t="s">
        <v>2102</v>
      </c>
      <c r="C2073" t="s">
        <v>2103</v>
      </c>
      <c r="D2073" t="str">
        <f>HYPERLINK("https://rhld.insurance.arkansas.gov/NPILookup?Npi=1053836510","1053836510")</f>
        <v>1053836510</v>
      </c>
      <c r="E2073" t="s">
        <v>2189</v>
      </c>
      <c r="F2073" t="s">
        <v>12</v>
      </c>
      <c r="G2073" s="20">
        <v>1</v>
      </c>
      <c r="H2073" t="s">
        <v>4349</v>
      </c>
      <c r="I2073" t="s">
        <v>32</v>
      </c>
      <c r="J2073" s="9"/>
      <c r="K2073" s="9"/>
      <c r="L2073" s="9"/>
    </row>
    <row r="2074" spans="2:12" ht="15" x14ac:dyDescent="0.25">
      <c r="B2074" t="s">
        <v>2102</v>
      </c>
      <c r="C2074" t="s">
        <v>2103</v>
      </c>
      <c r="D2074" t="str">
        <f>HYPERLINK("https://rhld.insurance.arkansas.gov/NPILookup?Npi=1053842435","1053842435")</f>
        <v>1053842435</v>
      </c>
      <c r="E2074" t="s">
        <v>2190</v>
      </c>
      <c r="F2074" t="s">
        <v>12</v>
      </c>
      <c r="G2074" s="20">
        <v>1</v>
      </c>
      <c r="H2074" t="s">
        <v>4349</v>
      </c>
      <c r="I2074" t="s">
        <v>32</v>
      </c>
      <c r="J2074" s="9"/>
      <c r="K2074" s="9"/>
      <c r="L2074" s="9"/>
    </row>
    <row r="2075" spans="2:12" ht="15" x14ac:dyDescent="0.25">
      <c r="B2075" t="s">
        <v>2102</v>
      </c>
      <c r="C2075" t="s">
        <v>2103</v>
      </c>
      <c r="D2075" t="str">
        <f>HYPERLINK("https://rhld.insurance.arkansas.gov/NPILookup?Npi=1053848457","1053848457")</f>
        <v>1053848457</v>
      </c>
      <c r="E2075" t="s">
        <v>1391</v>
      </c>
      <c r="F2075" t="s">
        <v>12</v>
      </c>
      <c r="G2075" s="20">
        <v>1</v>
      </c>
      <c r="H2075" t="s">
        <v>4349</v>
      </c>
      <c r="I2075" t="s">
        <v>32</v>
      </c>
      <c r="J2075" s="9"/>
      <c r="K2075" s="9"/>
      <c r="L2075" s="9"/>
    </row>
    <row r="2076" spans="2:12" ht="15" x14ac:dyDescent="0.25">
      <c r="B2076" t="s">
        <v>2102</v>
      </c>
      <c r="C2076" t="s">
        <v>2103</v>
      </c>
      <c r="D2076" t="str">
        <f>HYPERLINK("https://rhld.insurance.arkansas.gov/NPILookup?Npi=1053992909","1053992909")</f>
        <v>1053992909</v>
      </c>
      <c r="E2076" t="s">
        <v>392</v>
      </c>
      <c r="F2076" t="s">
        <v>12</v>
      </c>
      <c r="G2076" s="20">
        <v>1</v>
      </c>
      <c r="H2076" t="s">
        <v>4338</v>
      </c>
      <c r="I2076" t="s">
        <v>32</v>
      </c>
      <c r="J2076" s="9"/>
      <c r="K2076" s="9"/>
      <c r="L2076" s="9"/>
    </row>
    <row r="2077" spans="2:12" ht="15" x14ac:dyDescent="0.25">
      <c r="B2077" t="s">
        <v>2102</v>
      </c>
      <c r="C2077" t="s">
        <v>2103</v>
      </c>
      <c r="D2077" t="str">
        <f>HYPERLINK("https://rhld.insurance.arkansas.gov/NPILookup?Npi=1063031086","1063031086")</f>
        <v>1063031086</v>
      </c>
      <c r="E2077" t="s">
        <v>2191</v>
      </c>
      <c r="F2077" t="s">
        <v>12</v>
      </c>
      <c r="G2077" s="20">
        <v>1</v>
      </c>
      <c r="H2077" t="s">
        <v>4349</v>
      </c>
      <c r="I2077" t="s">
        <v>32</v>
      </c>
      <c r="J2077" s="9"/>
      <c r="K2077" s="9"/>
      <c r="L2077" s="9"/>
    </row>
    <row r="2078" spans="2:12" ht="15" x14ac:dyDescent="0.25">
      <c r="B2078" t="s">
        <v>2102</v>
      </c>
      <c r="C2078" t="s">
        <v>2103</v>
      </c>
      <c r="D2078" t="str">
        <f>HYPERLINK("https://rhld.insurance.arkansas.gov/NPILookup?Npi=1063090959","1063090959")</f>
        <v>1063090959</v>
      </c>
      <c r="E2078" t="s">
        <v>2192</v>
      </c>
      <c r="F2078" t="s">
        <v>13</v>
      </c>
      <c r="G2078" s="20">
        <v>1</v>
      </c>
      <c r="H2078" t="s">
        <v>4357</v>
      </c>
      <c r="I2078" t="s">
        <v>4357</v>
      </c>
      <c r="J2078" s="9"/>
      <c r="K2078" s="9"/>
      <c r="L2078" s="9"/>
    </row>
    <row r="2079" spans="2:12" ht="15" x14ac:dyDescent="0.25">
      <c r="B2079" t="s">
        <v>2102</v>
      </c>
      <c r="C2079" t="s">
        <v>2103</v>
      </c>
      <c r="D2079" t="str">
        <f>HYPERLINK("https://rhld.insurance.arkansas.gov/NPILookup?Npi=1063108280","1063108280")</f>
        <v>1063108280</v>
      </c>
      <c r="E2079" t="s">
        <v>2193</v>
      </c>
      <c r="F2079" t="s">
        <v>13</v>
      </c>
      <c r="G2079" s="20">
        <v>1</v>
      </c>
      <c r="H2079" t="s">
        <v>4357</v>
      </c>
      <c r="I2079" t="s">
        <v>4357</v>
      </c>
      <c r="J2079" s="9"/>
      <c r="K2079" s="9"/>
      <c r="L2079" s="9"/>
    </row>
    <row r="2080" spans="2:12" ht="15" x14ac:dyDescent="0.25">
      <c r="B2080" t="s">
        <v>2102</v>
      </c>
      <c r="C2080" t="s">
        <v>2103</v>
      </c>
      <c r="D2080" t="str">
        <f>HYPERLINK("https://rhld.insurance.arkansas.gov/NPILookup?Npi=1063118404","1063118404")</f>
        <v>1063118404</v>
      </c>
      <c r="E2080" t="s">
        <v>2194</v>
      </c>
      <c r="F2080" t="s">
        <v>12</v>
      </c>
      <c r="G2080" s="20">
        <v>1</v>
      </c>
      <c r="H2080" t="s">
        <v>4338</v>
      </c>
      <c r="I2080" t="s">
        <v>32</v>
      </c>
      <c r="J2080" s="9"/>
      <c r="K2080" s="9"/>
      <c r="L2080" s="9"/>
    </row>
    <row r="2081" spans="2:12" ht="15" x14ac:dyDescent="0.25">
      <c r="B2081" t="s">
        <v>2102</v>
      </c>
      <c r="C2081" t="s">
        <v>2103</v>
      </c>
      <c r="D2081" t="str">
        <f>HYPERLINK("https://rhld.insurance.arkansas.gov/NPILookup?Npi=1063119113","1063119113")</f>
        <v>1063119113</v>
      </c>
      <c r="E2081" t="s">
        <v>2195</v>
      </c>
      <c r="F2081" t="s">
        <v>13</v>
      </c>
      <c r="G2081" s="20">
        <v>1</v>
      </c>
      <c r="H2081" t="s">
        <v>4357</v>
      </c>
      <c r="I2081" t="s">
        <v>4357</v>
      </c>
      <c r="J2081" s="9"/>
      <c r="K2081" s="9"/>
      <c r="L2081" s="9"/>
    </row>
    <row r="2082" spans="2:12" ht="15" x14ac:dyDescent="0.25">
      <c r="B2082" t="s">
        <v>2102</v>
      </c>
      <c r="C2082" t="s">
        <v>2103</v>
      </c>
      <c r="D2082" t="str">
        <f>HYPERLINK("https://rhld.insurance.arkansas.gov/NPILookup?Npi=1063131316","1063131316")</f>
        <v>1063131316</v>
      </c>
      <c r="E2082" t="s">
        <v>2196</v>
      </c>
      <c r="F2082" t="s">
        <v>12</v>
      </c>
      <c r="G2082" s="20">
        <v>1</v>
      </c>
      <c r="H2082" t="s">
        <v>4338</v>
      </c>
      <c r="I2082" t="s">
        <v>4357</v>
      </c>
      <c r="J2082" s="9"/>
      <c r="K2082" s="9"/>
      <c r="L2082" s="9"/>
    </row>
    <row r="2083" spans="2:12" ht="15" x14ac:dyDescent="0.25">
      <c r="B2083" t="s">
        <v>2102</v>
      </c>
      <c r="C2083" t="s">
        <v>2103</v>
      </c>
      <c r="D2083" t="str">
        <f>HYPERLINK("https://rhld.insurance.arkansas.gov/NPILookup?Npi=1063207538","1063207538")</f>
        <v>1063207538</v>
      </c>
      <c r="E2083" t="s">
        <v>2048</v>
      </c>
      <c r="F2083" t="s">
        <v>13</v>
      </c>
      <c r="G2083" s="20">
        <v>1</v>
      </c>
      <c r="H2083" t="s">
        <v>4357</v>
      </c>
      <c r="I2083" t="s">
        <v>4357</v>
      </c>
      <c r="J2083" s="9"/>
      <c r="K2083" s="9"/>
      <c r="L2083" s="9"/>
    </row>
    <row r="2084" spans="2:12" ht="15" x14ac:dyDescent="0.25">
      <c r="B2084" t="s">
        <v>2102</v>
      </c>
      <c r="C2084" t="s">
        <v>2103</v>
      </c>
      <c r="D2084" t="str">
        <f>HYPERLINK("https://rhld.insurance.arkansas.gov/NPILookup?Npi=1063227171","1063227171")</f>
        <v>1063227171</v>
      </c>
      <c r="E2084" t="s">
        <v>2197</v>
      </c>
      <c r="F2084" t="s">
        <v>13</v>
      </c>
      <c r="G2084" s="20">
        <v>2</v>
      </c>
      <c r="H2084" t="s">
        <v>439</v>
      </c>
      <c r="I2084" t="s">
        <v>4357</v>
      </c>
      <c r="J2084" s="9"/>
      <c r="K2084" s="9"/>
      <c r="L2084" s="9"/>
    </row>
    <row r="2085" spans="2:12" ht="15" x14ac:dyDescent="0.25">
      <c r="B2085" t="s">
        <v>2102</v>
      </c>
      <c r="C2085" t="s">
        <v>2103</v>
      </c>
      <c r="D2085" t="str">
        <f>HYPERLINK("https://rhld.insurance.arkansas.gov/NPILookup?Npi=1063403566","1063403566")</f>
        <v>1063403566</v>
      </c>
      <c r="E2085" t="s">
        <v>2198</v>
      </c>
      <c r="F2085" t="s">
        <v>12</v>
      </c>
      <c r="G2085" s="20">
        <v>1</v>
      </c>
      <c r="H2085" t="s">
        <v>4349</v>
      </c>
      <c r="I2085" t="s">
        <v>32</v>
      </c>
      <c r="J2085" s="9"/>
      <c r="K2085" s="9"/>
      <c r="L2085" s="9"/>
    </row>
    <row r="2086" spans="2:12" ht="15" x14ac:dyDescent="0.25">
      <c r="B2086" t="s">
        <v>2102</v>
      </c>
      <c r="C2086" t="s">
        <v>2103</v>
      </c>
      <c r="D2086" t="str">
        <f>HYPERLINK("https://rhld.insurance.arkansas.gov/NPILookup?Npi=1063408409","1063408409")</f>
        <v>1063408409</v>
      </c>
      <c r="E2086" t="s">
        <v>393</v>
      </c>
      <c r="F2086" t="s">
        <v>12</v>
      </c>
      <c r="G2086" s="20">
        <v>1</v>
      </c>
      <c r="H2086" t="s">
        <v>4349</v>
      </c>
      <c r="I2086" t="s">
        <v>32</v>
      </c>
      <c r="J2086" s="9"/>
      <c r="K2086" s="9"/>
      <c r="L2086" s="9"/>
    </row>
    <row r="2087" spans="2:12" ht="15" x14ac:dyDescent="0.25">
      <c r="B2087" t="s">
        <v>2102</v>
      </c>
      <c r="C2087" t="s">
        <v>2103</v>
      </c>
      <c r="D2087" t="str">
        <f>HYPERLINK("https://rhld.insurance.arkansas.gov/NPILookup?Npi=1063494128","1063494128")</f>
        <v>1063494128</v>
      </c>
      <c r="E2087" t="s">
        <v>2200</v>
      </c>
      <c r="F2087" t="s">
        <v>12</v>
      </c>
      <c r="G2087" s="20">
        <v>1</v>
      </c>
      <c r="H2087" t="s">
        <v>4349</v>
      </c>
      <c r="I2087" t="s">
        <v>4357</v>
      </c>
      <c r="J2087" s="9"/>
      <c r="K2087" s="9"/>
      <c r="L2087" s="9"/>
    </row>
    <row r="2088" spans="2:12" ht="15" x14ac:dyDescent="0.25">
      <c r="B2088" t="s">
        <v>2102</v>
      </c>
      <c r="C2088" t="s">
        <v>2103</v>
      </c>
      <c r="D2088" t="str">
        <f>HYPERLINK("https://rhld.insurance.arkansas.gov/NPILookup?Npi=1063526614","1063526614")</f>
        <v>1063526614</v>
      </c>
      <c r="E2088" t="s">
        <v>396</v>
      </c>
      <c r="F2088" t="s">
        <v>12</v>
      </c>
      <c r="G2088" s="20">
        <v>1</v>
      </c>
      <c r="H2088" t="s">
        <v>4349</v>
      </c>
      <c r="I2088" t="s">
        <v>32</v>
      </c>
      <c r="J2088" s="9"/>
      <c r="K2088" s="9"/>
      <c r="L2088" s="9"/>
    </row>
    <row r="2089" spans="2:12" ht="15" x14ac:dyDescent="0.25">
      <c r="B2089" t="s">
        <v>2102</v>
      </c>
      <c r="C2089" t="s">
        <v>2103</v>
      </c>
      <c r="D2089" t="str">
        <f>HYPERLINK("https://rhld.insurance.arkansas.gov/NPILookup?Npi=1063600997","1063600997")</f>
        <v>1063600997</v>
      </c>
      <c r="E2089" t="s">
        <v>2201</v>
      </c>
      <c r="F2089" t="s">
        <v>12</v>
      </c>
      <c r="G2089" s="20">
        <v>1</v>
      </c>
      <c r="H2089" t="s">
        <v>4338</v>
      </c>
      <c r="I2089" t="s">
        <v>32</v>
      </c>
      <c r="J2089" s="9"/>
      <c r="K2089" s="9"/>
      <c r="L2089" s="9"/>
    </row>
    <row r="2090" spans="2:12" ht="15" x14ac:dyDescent="0.25">
      <c r="B2090" t="s">
        <v>2102</v>
      </c>
      <c r="C2090" t="s">
        <v>2103</v>
      </c>
      <c r="D2090" t="str">
        <f>HYPERLINK("https://rhld.insurance.arkansas.gov/NPILookup?Npi=1063618932","1063618932")</f>
        <v>1063618932</v>
      </c>
      <c r="E2090" t="s">
        <v>2202</v>
      </c>
      <c r="F2090" t="s">
        <v>12</v>
      </c>
      <c r="G2090" s="20">
        <v>1</v>
      </c>
      <c r="H2090" t="s">
        <v>4349</v>
      </c>
      <c r="I2090" t="s">
        <v>4357</v>
      </c>
      <c r="J2090" s="9"/>
      <c r="K2090" s="9"/>
      <c r="L2090" s="9"/>
    </row>
    <row r="2091" spans="2:12" ht="15" x14ac:dyDescent="0.25">
      <c r="B2091" t="s">
        <v>2102</v>
      </c>
      <c r="C2091" t="s">
        <v>2103</v>
      </c>
      <c r="D2091" t="str">
        <f>HYPERLINK("https://rhld.insurance.arkansas.gov/NPILookup?Npi=1063665990","1063665990")</f>
        <v>1063665990</v>
      </c>
      <c r="E2091" t="s">
        <v>2203</v>
      </c>
      <c r="F2091" t="s">
        <v>12</v>
      </c>
      <c r="G2091" s="20">
        <v>1</v>
      </c>
      <c r="H2091" t="s">
        <v>4338</v>
      </c>
      <c r="I2091" t="s">
        <v>4357</v>
      </c>
      <c r="J2091" s="9"/>
      <c r="K2091" s="9"/>
      <c r="L2091" s="9"/>
    </row>
    <row r="2092" spans="2:12" ht="15" x14ac:dyDescent="0.25">
      <c r="B2092" t="s">
        <v>2102</v>
      </c>
      <c r="C2092" t="s">
        <v>2103</v>
      </c>
      <c r="D2092" t="str">
        <f>HYPERLINK("https://rhld.insurance.arkansas.gov/NPILookup?Npi=1063684702","1063684702")</f>
        <v>1063684702</v>
      </c>
      <c r="E2092" t="s">
        <v>400</v>
      </c>
      <c r="F2092" t="s">
        <v>12</v>
      </c>
      <c r="G2092" s="20">
        <v>1</v>
      </c>
      <c r="H2092" t="s">
        <v>4349</v>
      </c>
      <c r="I2092" t="s">
        <v>32</v>
      </c>
      <c r="J2092" s="9"/>
      <c r="K2092" s="9"/>
      <c r="L2092" s="9"/>
    </row>
    <row r="2093" spans="2:12" ht="15" x14ac:dyDescent="0.25">
      <c r="B2093" t="s">
        <v>2102</v>
      </c>
      <c r="C2093" t="s">
        <v>2103</v>
      </c>
      <c r="D2093" t="str">
        <f>HYPERLINK("https://rhld.insurance.arkansas.gov/NPILookup?Npi=1063704302","1063704302")</f>
        <v>1063704302</v>
      </c>
      <c r="E2093" t="s">
        <v>2204</v>
      </c>
      <c r="F2093" t="s">
        <v>12</v>
      </c>
      <c r="G2093" s="20">
        <v>1</v>
      </c>
      <c r="H2093" t="s">
        <v>4349</v>
      </c>
      <c r="I2093" t="s">
        <v>32</v>
      </c>
      <c r="J2093" s="9"/>
      <c r="K2093" s="9"/>
      <c r="L2093" s="9"/>
    </row>
    <row r="2094" spans="2:12" ht="15" x14ac:dyDescent="0.25">
      <c r="B2094" t="s">
        <v>2102</v>
      </c>
      <c r="C2094" t="s">
        <v>2103</v>
      </c>
      <c r="D2094" t="str">
        <f>HYPERLINK("https://rhld.insurance.arkansas.gov/NPILookup?Npi=1063734069","1063734069")</f>
        <v>1063734069</v>
      </c>
      <c r="E2094" t="s">
        <v>1155</v>
      </c>
      <c r="F2094" t="s">
        <v>12</v>
      </c>
      <c r="G2094" s="20">
        <v>2</v>
      </c>
      <c r="H2094" t="s">
        <v>4350</v>
      </c>
      <c r="I2094" t="s">
        <v>32</v>
      </c>
      <c r="J2094" s="9"/>
      <c r="K2094" s="9"/>
      <c r="L2094" s="9"/>
    </row>
    <row r="2095" spans="2:12" ht="15" x14ac:dyDescent="0.25">
      <c r="B2095" t="s">
        <v>2102</v>
      </c>
      <c r="C2095" t="s">
        <v>2103</v>
      </c>
      <c r="D2095" t="str">
        <f>HYPERLINK("https://rhld.insurance.arkansas.gov/NPILookup?Npi=1063773497","1063773497")</f>
        <v>1063773497</v>
      </c>
      <c r="E2095" t="s">
        <v>4477</v>
      </c>
      <c r="F2095" t="s">
        <v>12</v>
      </c>
      <c r="G2095" s="20">
        <v>1</v>
      </c>
      <c r="H2095" t="s">
        <v>4349</v>
      </c>
      <c r="I2095" t="s">
        <v>32</v>
      </c>
      <c r="J2095" s="9"/>
      <c r="K2095" s="9"/>
      <c r="L2095" s="9"/>
    </row>
    <row r="2096" spans="2:12" ht="15" x14ac:dyDescent="0.25">
      <c r="B2096" t="s">
        <v>2102</v>
      </c>
      <c r="C2096" t="s">
        <v>2103</v>
      </c>
      <c r="D2096" t="str">
        <f>HYPERLINK("https://rhld.insurance.arkansas.gov/NPILookup?Npi=1063875078","1063875078")</f>
        <v>1063875078</v>
      </c>
      <c r="E2096" t="s">
        <v>2205</v>
      </c>
      <c r="F2096" t="s">
        <v>12</v>
      </c>
      <c r="G2096" s="20">
        <v>1</v>
      </c>
      <c r="H2096" t="s">
        <v>4349</v>
      </c>
      <c r="I2096" t="s">
        <v>32</v>
      </c>
      <c r="J2096" s="9"/>
      <c r="K2096" s="9"/>
      <c r="L2096" s="9"/>
    </row>
    <row r="2097" spans="2:12" ht="15" x14ac:dyDescent="0.25">
      <c r="B2097" t="s">
        <v>2102</v>
      </c>
      <c r="C2097" t="s">
        <v>2103</v>
      </c>
      <c r="D2097" t="str">
        <f>HYPERLINK("https://rhld.insurance.arkansas.gov/NPILookup?Npi=1063965192","1063965192")</f>
        <v>1063965192</v>
      </c>
      <c r="E2097" t="s">
        <v>2206</v>
      </c>
      <c r="F2097" t="s">
        <v>12</v>
      </c>
      <c r="G2097" s="20">
        <v>1</v>
      </c>
      <c r="H2097" t="s">
        <v>4338</v>
      </c>
      <c r="I2097" t="s">
        <v>32</v>
      </c>
      <c r="J2097" s="9"/>
      <c r="K2097" s="9"/>
      <c r="L2097" s="9"/>
    </row>
    <row r="2098" spans="2:12" ht="15" x14ac:dyDescent="0.25">
      <c r="B2098" t="s">
        <v>2102</v>
      </c>
      <c r="C2098" t="s">
        <v>2103</v>
      </c>
      <c r="D2098" t="str">
        <f>HYPERLINK("https://rhld.insurance.arkansas.gov/NPILookup?Npi=1063979128","1063979128")</f>
        <v>1063979128</v>
      </c>
      <c r="E2098" t="s">
        <v>2207</v>
      </c>
      <c r="F2098" t="s">
        <v>13</v>
      </c>
      <c r="G2098" s="20">
        <v>1</v>
      </c>
      <c r="H2098" t="s">
        <v>4357</v>
      </c>
      <c r="I2098" t="s">
        <v>4357</v>
      </c>
      <c r="J2098" s="9"/>
      <c r="K2098" s="9"/>
      <c r="L2098" s="9"/>
    </row>
    <row r="2099" spans="2:12" ht="15" x14ac:dyDescent="0.25">
      <c r="B2099" t="s">
        <v>2102</v>
      </c>
      <c r="C2099" t="s">
        <v>2103</v>
      </c>
      <c r="D2099" t="str">
        <f>HYPERLINK("https://rhld.insurance.arkansas.gov/NPILookup?Npi=1073002317","1073002317")</f>
        <v>1073002317</v>
      </c>
      <c r="E2099" t="s">
        <v>2209</v>
      </c>
      <c r="F2099" t="s">
        <v>12</v>
      </c>
      <c r="G2099" s="20">
        <v>1</v>
      </c>
      <c r="H2099" t="s">
        <v>4349</v>
      </c>
      <c r="I2099" t="s">
        <v>4357</v>
      </c>
      <c r="J2099" s="9"/>
      <c r="K2099" s="9"/>
      <c r="L2099" s="9"/>
    </row>
    <row r="2100" spans="2:12" ht="15" x14ac:dyDescent="0.25">
      <c r="B2100" t="s">
        <v>2102</v>
      </c>
      <c r="C2100" t="s">
        <v>2103</v>
      </c>
      <c r="D2100" t="str">
        <f>HYPERLINK("https://rhld.insurance.arkansas.gov/NPILookup?Npi=1073063913","1073063913")</f>
        <v>1073063913</v>
      </c>
      <c r="E2100" t="s">
        <v>4478</v>
      </c>
      <c r="F2100" t="s">
        <v>12</v>
      </c>
      <c r="G2100" s="20">
        <v>1</v>
      </c>
      <c r="H2100" t="s">
        <v>4349</v>
      </c>
      <c r="I2100" t="s">
        <v>32</v>
      </c>
      <c r="J2100" s="9"/>
      <c r="K2100" s="9"/>
      <c r="L2100" s="9"/>
    </row>
    <row r="2101" spans="2:12" ht="15" x14ac:dyDescent="0.25">
      <c r="B2101" t="s">
        <v>2102</v>
      </c>
      <c r="C2101" t="s">
        <v>2103</v>
      </c>
      <c r="D2101" t="str">
        <f>HYPERLINK("https://rhld.insurance.arkansas.gov/NPILookup?Npi=1073099198","1073099198")</f>
        <v>1073099198</v>
      </c>
      <c r="E2101" t="s">
        <v>2210</v>
      </c>
      <c r="F2101" t="s">
        <v>12</v>
      </c>
      <c r="G2101" s="20">
        <v>1</v>
      </c>
      <c r="H2101" t="s">
        <v>4338</v>
      </c>
      <c r="I2101" t="s">
        <v>32</v>
      </c>
      <c r="J2101" s="9"/>
      <c r="K2101" s="9"/>
      <c r="L2101" s="9"/>
    </row>
    <row r="2102" spans="2:12" ht="15" x14ac:dyDescent="0.25">
      <c r="B2102" t="s">
        <v>2102</v>
      </c>
      <c r="C2102" t="s">
        <v>2103</v>
      </c>
      <c r="D2102" t="str">
        <f>HYPERLINK("https://rhld.insurance.arkansas.gov/NPILookup?Npi=1073194023","1073194023")</f>
        <v>1073194023</v>
      </c>
      <c r="E2102" t="s">
        <v>2211</v>
      </c>
      <c r="F2102" t="s">
        <v>13</v>
      </c>
      <c r="G2102" s="20">
        <v>1</v>
      </c>
      <c r="H2102" t="s">
        <v>4357</v>
      </c>
      <c r="I2102" t="s">
        <v>4357</v>
      </c>
      <c r="J2102" s="9"/>
      <c r="K2102" s="9"/>
      <c r="L2102" s="9"/>
    </row>
    <row r="2103" spans="2:12" ht="15" x14ac:dyDescent="0.25">
      <c r="B2103" t="s">
        <v>2102</v>
      </c>
      <c r="C2103" t="s">
        <v>2103</v>
      </c>
      <c r="D2103" t="str">
        <f>HYPERLINK("https://rhld.insurance.arkansas.gov/NPILookup?Npi=1073296471","1073296471")</f>
        <v>1073296471</v>
      </c>
      <c r="E2103" t="s">
        <v>2212</v>
      </c>
      <c r="F2103" t="s">
        <v>13</v>
      </c>
      <c r="G2103" s="20">
        <v>1</v>
      </c>
      <c r="H2103" t="s">
        <v>4357</v>
      </c>
      <c r="I2103" t="s">
        <v>4357</v>
      </c>
      <c r="J2103" s="9"/>
      <c r="K2103" s="9"/>
      <c r="L2103" s="9"/>
    </row>
    <row r="2104" spans="2:12" ht="15" x14ac:dyDescent="0.25">
      <c r="B2104" t="s">
        <v>2102</v>
      </c>
      <c r="C2104" t="s">
        <v>2103</v>
      </c>
      <c r="D2104" t="str">
        <f>HYPERLINK("https://rhld.insurance.arkansas.gov/NPILookup?Npi=1073326765","1073326765")</f>
        <v>1073326765</v>
      </c>
      <c r="E2104" t="s">
        <v>2213</v>
      </c>
      <c r="F2104" t="s">
        <v>13</v>
      </c>
      <c r="G2104" s="20">
        <v>2</v>
      </c>
      <c r="H2104" t="s">
        <v>439</v>
      </c>
      <c r="I2104" t="s">
        <v>4357</v>
      </c>
      <c r="J2104" s="9"/>
      <c r="K2104" s="9"/>
      <c r="L2104" s="9"/>
    </row>
    <row r="2105" spans="2:12" ht="15" x14ac:dyDescent="0.25">
      <c r="B2105" t="s">
        <v>2102</v>
      </c>
      <c r="C2105" t="s">
        <v>2103</v>
      </c>
      <c r="D2105" t="str">
        <f>HYPERLINK("https://rhld.insurance.arkansas.gov/NPILookup?Npi=1073533956","1073533956")</f>
        <v>1073533956</v>
      </c>
      <c r="E2105" t="s">
        <v>408</v>
      </c>
      <c r="F2105" t="s">
        <v>12</v>
      </c>
      <c r="G2105" s="20">
        <v>1</v>
      </c>
      <c r="H2105" t="s">
        <v>4349</v>
      </c>
      <c r="I2105" t="s">
        <v>32</v>
      </c>
      <c r="J2105" s="9"/>
      <c r="K2105" s="9"/>
      <c r="L2105" s="9"/>
    </row>
    <row r="2106" spans="2:12" ht="15" x14ac:dyDescent="0.25">
      <c r="B2106" t="s">
        <v>2102</v>
      </c>
      <c r="C2106" t="s">
        <v>2103</v>
      </c>
      <c r="D2106" t="str">
        <f>HYPERLINK("https://rhld.insurance.arkansas.gov/NPILookup?Npi=1073537643","1073537643")</f>
        <v>1073537643</v>
      </c>
      <c r="E2106" t="s">
        <v>2214</v>
      </c>
      <c r="F2106" t="s">
        <v>12</v>
      </c>
      <c r="G2106" s="20">
        <v>1</v>
      </c>
      <c r="H2106" t="s">
        <v>4349</v>
      </c>
      <c r="I2106" t="s">
        <v>32</v>
      </c>
      <c r="J2106" s="9"/>
      <c r="K2106" s="9"/>
      <c r="L2106" s="9"/>
    </row>
    <row r="2107" spans="2:12" ht="15" x14ac:dyDescent="0.25">
      <c r="B2107" t="s">
        <v>2102</v>
      </c>
      <c r="C2107" t="s">
        <v>2103</v>
      </c>
      <c r="D2107" t="str">
        <f>HYPERLINK("https://rhld.insurance.arkansas.gov/NPILookup?Npi=1073562930","1073562930")</f>
        <v>1073562930</v>
      </c>
      <c r="E2107" t="s">
        <v>2215</v>
      </c>
      <c r="F2107" t="s">
        <v>12</v>
      </c>
      <c r="G2107" s="20">
        <v>1</v>
      </c>
      <c r="H2107" t="s">
        <v>4349</v>
      </c>
      <c r="I2107" t="s">
        <v>32</v>
      </c>
      <c r="J2107" s="9"/>
      <c r="K2107" s="9"/>
      <c r="L2107" s="9"/>
    </row>
    <row r="2108" spans="2:12" ht="15" x14ac:dyDescent="0.25">
      <c r="B2108" t="s">
        <v>2102</v>
      </c>
      <c r="C2108" t="s">
        <v>2103</v>
      </c>
      <c r="D2108" t="str">
        <f>HYPERLINK("https://rhld.insurance.arkansas.gov/NPILookup?Npi=1073579314","1073579314")</f>
        <v>1073579314</v>
      </c>
      <c r="E2108" t="s">
        <v>409</v>
      </c>
      <c r="F2108" t="s">
        <v>12</v>
      </c>
      <c r="G2108" s="20">
        <v>1</v>
      </c>
      <c r="H2108" t="s">
        <v>4349</v>
      </c>
      <c r="I2108" t="s">
        <v>4357</v>
      </c>
      <c r="J2108" s="9"/>
      <c r="K2108" s="9"/>
      <c r="L2108" s="9"/>
    </row>
    <row r="2109" spans="2:12" ht="15" x14ac:dyDescent="0.25">
      <c r="B2109" t="s">
        <v>2102</v>
      </c>
      <c r="C2109" t="s">
        <v>2103</v>
      </c>
      <c r="D2109" t="str">
        <f>HYPERLINK("https://rhld.insurance.arkansas.gov/NPILookup?Npi=1073810263","1073810263")</f>
        <v>1073810263</v>
      </c>
      <c r="E2109" t="s">
        <v>2217</v>
      </c>
      <c r="F2109" t="s">
        <v>13</v>
      </c>
      <c r="G2109" s="20">
        <v>1</v>
      </c>
      <c r="H2109" t="s">
        <v>87</v>
      </c>
      <c r="I2109" t="s">
        <v>32</v>
      </c>
      <c r="J2109" s="9"/>
      <c r="K2109" s="9"/>
      <c r="L2109" s="9"/>
    </row>
    <row r="2110" spans="2:12" ht="15" x14ac:dyDescent="0.25">
      <c r="B2110" t="s">
        <v>2102</v>
      </c>
      <c r="C2110" t="s">
        <v>2103</v>
      </c>
      <c r="D2110" t="str">
        <f>HYPERLINK("https://rhld.insurance.arkansas.gov/NPILookup?Npi=1073889408","1073889408")</f>
        <v>1073889408</v>
      </c>
      <c r="E2110" t="s">
        <v>4479</v>
      </c>
      <c r="F2110" t="s">
        <v>12</v>
      </c>
      <c r="G2110" s="20">
        <v>1</v>
      </c>
      <c r="H2110" t="s">
        <v>4349</v>
      </c>
      <c r="I2110" t="s">
        <v>32</v>
      </c>
      <c r="J2110" s="9"/>
      <c r="K2110" s="9"/>
      <c r="L2110" s="9"/>
    </row>
    <row r="2111" spans="2:12" ht="15" x14ac:dyDescent="0.25">
      <c r="B2111" t="s">
        <v>2102</v>
      </c>
      <c r="C2111" t="s">
        <v>2103</v>
      </c>
      <c r="D2111" t="str">
        <f>HYPERLINK("https://rhld.insurance.arkansas.gov/NPILookup?Npi=1073967493","1073967493")</f>
        <v>1073967493</v>
      </c>
      <c r="E2111" t="s">
        <v>2219</v>
      </c>
      <c r="F2111" t="s">
        <v>12</v>
      </c>
      <c r="G2111" s="20">
        <v>1</v>
      </c>
      <c r="H2111" t="s">
        <v>4349</v>
      </c>
      <c r="I2111" t="s">
        <v>4357</v>
      </c>
      <c r="J2111" s="9"/>
      <c r="K2111" s="9"/>
      <c r="L2111" s="9"/>
    </row>
    <row r="2112" spans="2:12" ht="15" x14ac:dyDescent="0.25">
      <c r="B2112" t="s">
        <v>2102</v>
      </c>
      <c r="C2112" t="s">
        <v>2103</v>
      </c>
      <c r="D2112" t="str">
        <f>HYPERLINK("https://rhld.insurance.arkansas.gov/NPILookup?Npi=1083082739","1083082739")</f>
        <v>1083082739</v>
      </c>
      <c r="E2112" t="s">
        <v>1550</v>
      </c>
      <c r="F2112" t="s">
        <v>12</v>
      </c>
      <c r="G2112" s="20">
        <v>1</v>
      </c>
      <c r="H2112" t="s">
        <v>4338</v>
      </c>
      <c r="I2112" t="s">
        <v>32</v>
      </c>
      <c r="J2112" s="9"/>
      <c r="K2112" s="9"/>
      <c r="L2112" s="9"/>
    </row>
    <row r="2113" spans="2:12" ht="15" x14ac:dyDescent="0.25">
      <c r="B2113" t="s">
        <v>2102</v>
      </c>
      <c r="C2113" t="s">
        <v>2103</v>
      </c>
      <c r="D2113" t="str">
        <f>HYPERLINK("https://rhld.insurance.arkansas.gov/NPILookup?Npi=1083101208","1083101208")</f>
        <v>1083101208</v>
      </c>
      <c r="E2113" t="s">
        <v>2220</v>
      </c>
      <c r="F2113" t="s">
        <v>12</v>
      </c>
      <c r="G2113" s="20">
        <v>1</v>
      </c>
      <c r="H2113" t="s">
        <v>4349</v>
      </c>
      <c r="I2113" t="s">
        <v>32</v>
      </c>
      <c r="J2113" s="9"/>
      <c r="K2113" s="9"/>
      <c r="L2113" s="9"/>
    </row>
    <row r="2114" spans="2:12" ht="15" x14ac:dyDescent="0.25">
      <c r="B2114" t="s">
        <v>2102</v>
      </c>
      <c r="C2114" t="s">
        <v>2103</v>
      </c>
      <c r="D2114" t="str">
        <f>HYPERLINK("https://rhld.insurance.arkansas.gov/NPILookup?Npi=1083177133","1083177133")</f>
        <v>1083177133</v>
      </c>
      <c r="E2114" t="s">
        <v>2221</v>
      </c>
      <c r="F2114" t="s">
        <v>12</v>
      </c>
      <c r="G2114" s="20">
        <v>1</v>
      </c>
      <c r="H2114" t="s">
        <v>4349</v>
      </c>
      <c r="I2114" t="s">
        <v>32</v>
      </c>
      <c r="J2114" s="9"/>
      <c r="K2114" s="9"/>
      <c r="L2114" s="9"/>
    </row>
    <row r="2115" spans="2:12" ht="15" x14ac:dyDescent="0.25">
      <c r="B2115" t="s">
        <v>2102</v>
      </c>
      <c r="C2115" t="s">
        <v>2103</v>
      </c>
      <c r="D2115" t="str">
        <f>HYPERLINK("https://rhld.insurance.arkansas.gov/NPILookup?Npi=1083289144","1083289144")</f>
        <v>1083289144</v>
      </c>
      <c r="E2115" t="s">
        <v>2222</v>
      </c>
      <c r="F2115" t="s">
        <v>13</v>
      </c>
      <c r="G2115" s="20">
        <v>1</v>
      </c>
      <c r="H2115" t="s">
        <v>4357</v>
      </c>
      <c r="I2115" t="s">
        <v>4357</v>
      </c>
      <c r="J2115" s="9"/>
      <c r="K2115" s="9"/>
      <c r="L2115" s="9"/>
    </row>
    <row r="2116" spans="2:12" ht="15" x14ac:dyDescent="0.25">
      <c r="B2116" t="s">
        <v>2102</v>
      </c>
      <c r="C2116" t="s">
        <v>2103</v>
      </c>
      <c r="D2116" t="str">
        <f>HYPERLINK("https://rhld.insurance.arkansas.gov/NPILookup?Npi=1083315170","1083315170")</f>
        <v>1083315170</v>
      </c>
      <c r="E2116" t="s">
        <v>2223</v>
      </c>
      <c r="F2116" t="s">
        <v>13</v>
      </c>
      <c r="G2116" s="20">
        <v>1</v>
      </c>
      <c r="H2116" t="s">
        <v>4357</v>
      </c>
      <c r="I2116" t="s">
        <v>4357</v>
      </c>
      <c r="J2116" s="9"/>
      <c r="K2116" s="9"/>
      <c r="L2116" s="9"/>
    </row>
    <row r="2117" spans="2:12" ht="15" x14ac:dyDescent="0.25">
      <c r="B2117" t="s">
        <v>2102</v>
      </c>
      <c r="C2117" t="s">
        <v>2103</v>
      </c>
      <c r="D2117" t="str">
        <f>HYPERLINK("https://rhld.insurance.arkansas.gov/NPILookup?Npi=1083319750","1083319750")</f>
        <v>1083319750</v>
      </c>
      <c r="E2117" t="s">
        <v>2224</v>
      </c>
      <c r="F2117" t="s">
        <v>12</v>
      </c>
      <c r="G2117" s="20">
        <v>1</v>
      </c>
      <c r="H2117" t="s">
        <v>4338</v>
      </c>
      <c r="I2117" t="s">
        <v>32</v>
      </c>
      <c r="J2117" s="9"/>
      <c r="K2117" s="9"/>
      <c r="L2117" s="9"/>
    </row>
    <row r="2118" spans="2:12" ht="15" x14ac:dyDescent="0.25">
      <c r="B2118" t="s">
        <v>2102</v>
      </c>
      <c r="C2118" t="s">
        <v>2103</v>
      </c>
      <c r="D2118" t="str">
        <f>HYPERLINK("https://rhld.insurance.arkansas.gov/NPILookup?Npi=1083320238","1083320238")</f>
        <v>1083320238</v>
      </c>
      <c r="E2118" t="s">
        <v>2225</v>
      </c>
      <c r="F2118" t="s">
        <v>12</v>
      </c>
      <c r="G2118" s="20">
        <v>1</v>
      </c>
      <c r="H2118" t="s">
        <v>4338</v>
      </c>
      <c r="I2118" t="s">
        <v>32</v>
      </c>
      <c r="J2118" s="9"/>
      <c r="K2118" s="9"/>
      <c r="L2118" s="9"/>
    </row>
    <row r="2119" spans="2:12" ht="15" x14ac:dyDescent="0.25">
      <c r="B2119" t="s">
        <v>2102</v>
      </c>
      <c r="C2119" t="s">
        <v>2103</v>
      </c>
      <c r="D2119" t="str">
        <f>HYPERLINK("https://rhld.insurance.arkansas.gov/NPILookup?Npi=1083433403","1083433403")</f>
        <v>1083433403</v>
      </c>
      <c r="E2119" t="s">
        <v>2049</v>
      </c>
      <c r="F2119" t="s">
        <v>13</v>
      </c>
      <c r="G2119" s="20">
        <v>1</v>
      </c>
      <c r="H2119" t="s">
        <v>4357</v>
      </c>
      <c r="I2119" t="s">
        <v>4357</v>
      </c>
      <c r="J2119" s="9"/>
      <c r="K2119" s="9"/>
      <c r="L2119" s="9"/>
    </row>
    <row r="2120" spans="2:12" ht="15" x14ac:dyDescent="0.25">
      <c r="B2120" t="s">
        <v>2102</v>
      </c>
      <c r="C2120" t="s">
        <v>2103</v>
      </c>
      <c r="D2120" t="str">
        <f>HYPERLINK("https://rhld.insurance.arkansas.gov/NPILookup?Npi=1083433981","1083433981")</f>
        <v>1083433981</v>
      </c>
      <c r="E2120" t="s">
        <v>2050</v>
      </c>
      <c r="F2120" t="s">
        <v>13</v>
      </c>
      <c r="G2120" s="20">
        <v>1</v>
      </c>
      <c r="H2120" t="s">
        <v>4357</v>
      </c>
      <c r="I2120" t="s">
        <v>4357</v>
      </c>
      <c r="J2120" s="9"/>
      <c r="K2120" s="9"/>
      <c r="L2120" s="9"/>
    </row>
    <row r="2121" spans="2:12" ht="15" x14ac:dyDescent="0.25">
      <c r="B2121" t="s">
        <v>2102</v>
      </c>
      <c r="C2121" t="s">
        <v>2103</v>
      </c>
      <c r="D2121" t="str">
        <f>HYPERLINK("https://rhld.insurance.arkansas.gov/NPILookup?Npi=1083601140","1083601140")</f>
        <v>1083601140</v>
      </c>
      <c r="E2121" t="s">
        <v>2226</v>
      </c>
      <c r="F2121" t="s">
        <v>12</v>
      </c>
      <c r="G2121" s="20">
        <v>1</v>
      </c>
      <c r="H2121" t="s">
        <v>139</v>
      </c>
      <c r="I2121" t="s">
        <v>32</v>
      </c>
      <c r="J2121" s="9"/>
      <c r="K2121" s="9"/>
      <c r="L2121" s="9"/>
    </row>
    <row r="2122" spans="2:12" ht="15" x14ac:dyDescent="0.25">
      <c r="B2122" t="s">
        <v>2102</v>
      </c>
      <c r="C2122" t="s">
        <v>2103</v>
      </c>
      <c r="D2122" t="str">
        <f>HYPERLINK("https://rhld.insurance.arkansas.gov/NPILookup?Npi=1083608889","1083608889")</f>
        <v>1083608889</v>
      </c>
      <c r="E2122" t="s">
        <v>148</v>
      </c>
      <c r="F2122" t="s">
        <v>12</v>
      </c>
      <c r="G2122" s="20">
        <v>1</v>
      </c>
      <c r="H2122" t="s">
        <v>4349</v>
      </c>
      <c r="I2122" t="s">
        <v>32</v>
      </c>
      <c r="J2122" s="9"/>
      <c r="K2122" s="9"/>
      <c r="L2122" s="9"/>
    </row>
    <row r="2123" spans="2:12" ht="15" x14ac:dyDescent="0.25">
      <c r="B2123" t="s">
        <v>2102</v>
      </c>
      <c r="C2123" t="s">
        <v>2103</v>
      </c>
      <c r="D2123" t="str">
        <f>HYPERLINK("https://rhld.insurance.arkansas.gov/NPILookup?Npi=1083635577","1083635577")</f>
        <v>1083635577</v>
      </c>
      <c r="E2123" t="s">
        <v>2227</v>
      </c>
      <c r="F2123" t="s">
        <v>12</v>
      </c>
      <c r="G2123" s="20">
        <v>1</v>
      </c>
      <c r="H2123" t="s">
        <v>4338</v>
      </c>
      <c r="I2123" t="s">
        <v>32</v>
      </c>
      <c r="J2123" s="9"/>
      <c r="K2123" s="9"/>
      <c r="L2123" s="9"/>
    </row>
    <row r="2124" spans="2:12" ht="15" x14ac:dyDescent="0.25">
      <c r="B2124" t="s">
        <v>2102</v>
      </c>
      <c r="C2124" t="s">
        <v>2103</v>
      </c>
      <c r="D2124" t="str">
        <f>HYPERLINK("https://rhld.insurance.arkansas.gov/NPILookup?Npi=1083670095","1083670095")</f>
        <v>1083670095</v>
      </c>
      <c r="E2124" t="s">
        <v>2228</v>
      </c>
      <c r="F2124" t="s">
        <v>12</v>
      </c>
      <c r="G2124" s="20">
        <v>1</v>
      </c>
      <c r="H2124" t="s">
        <v>4338</v>
      </c>
      <c r="I2124" t="s">
        <v>32</v>
      </c>
      <c r="J2124" s="9"/>
      <c r="K2124" s="9"/>
      <c r="L2124" s="9"/>
    </row>
    <row r="2125" spans="2:12" ht="15" x14ac:dyDescent="0.25">
      <c r="B2125" t="s">
        <v>2102</v>
      </c>
      <c r="C2125" t="s">
        <v>2103</v>
      </c>
      <c r="D2125" t="str">
        <f>HYPERLINK("https://rhld.insurance.arkansas.gov/NPILookup?Npi=1083680862","1083680862")</f>
        <v>1083680862</v>
      </c>
      <c r="E2125" t="s">
        <v>4480</v>
      </c>
      <c r="F2125" t="s">
        <v>12</v>
      </c>
      <c r="G2125" s="20">
        <v>1</v>
      </c>
      <c r="H2125" t="s">
        <v>4349</v>
      </c>
      <c r="I2125" t="s">
        <v>32</v>
      </c>
      <c r="J2125" s="9"/>
      <c r="K2125" s="9"/>
      <c r="L2125" s="9"/>
    </row>
    <row r="2126" spans="2:12" ht="15" x14ac:dyDescent="0.25">
      <c r="B2126" t="s">
        <v>2102</v>
      </c>
      <c r="C2126" t="s">
        <v>2103</v>
      </c>
      <c r="D2126" t="str">
        <f>HYPERLINK("https://rhld.insurance.arkansas.gov/NPILookup?Npi=1083861389","1083861389")</f>
        <v>1083861389</v>
      </c>
      <c r="E2126" s="25" t="s">
        <v>2230</v>
      </c>
      <c r="F2126" t="s">
        <v>12</v>
      </c>
      <c r="G2126" s="20">
        <v>1</v>
      </c>
      <c r="H2126" t="s">
        <v>4349</v>
      </c>
      <c r="I2126" t="s">
        <v>32</v>
      </c>
      <c r="J2126" s="9"/>
      <c r="K2126" s="9"/>
      <c r="L2126" s="9"/>
    </row>
    <row r="2127" spans="2:12" ht="15" x14ac:dyDescent="0.25">
      <c r="B2127" t="s">
        <v>2102</v>
      </c>
      <c r="C2127" t="s">
        <v>2103</v>
      </c>
      <c r="D2127" t="str">
        <f>HYPERLINK("https://rhld.insurance.arkansas.gov/NPILookup?Npi=1083889703","1083889703")</f>
        <v>1083889703</v>
      </c>
      <c r="E2127" t="s">
        <v>2231</v>
      </c>
      <c r="F2127" t="s">
        <v>12</v>
      </c>
      <c r="G2127" s="20">
        <v>1</v>
      </c>
      <c r="H2127" t="s">
        <v>4349</v>
      </c>
      <c r="I2127" t="s">
        <v>4357</v>
      </c>
      <c r="J2127" s="9"/>
      <c r="K2127" s="9"/>
      <c r="L2127" s="9"/>
    </row>
    <row r="2128" spans="2:12" ht="15" x14ac:dyDescent="0.25">
      <c r="B2128" t="s">
        <v>2102</v>
      </c>
      <c r="C2128" t="s">
        <v>2103</v>
      </c>
      <c r="D2128" t="str">
        <f>HYPERLINK("https://rhld.insurance.arkansas.gov/NPILookup?Npi=1083898803","1083898803")</f>
        <v>1083898803</v>
      </c>
      <c r="E2128" t="s">
        <v>416</v>
      </c>
      <c r="F2128" t="s">
        <v>12</v>
      </c>
      <c r="G2128" s="20">
        <v>1</v>
      </c>
      <c r="H2128" t="s">
        <v>4338</v>
      </c>
      <c r="I2128" t="s">
        <v>32</v>
      </c>
      <c r="J2128" s="9"/>
      <c r="K2128" s="9"/>
      <c r="L2128" s="9"/>
    </row>
    <row r="2129" spans="2:12" ht="15" x14ac:dyDescent="0.25">
      <c r="B2129" t="s">
        <v>2102</v>
      </c>
      <c r="C2129" t="s">
        <v>2103</v>
      </c>
      <c r="D2129" t="str">
        <f>HYPERLINK("https://rhld.insurance.arkansas.gov/NPILookup?Npi=1083957641","1083957641")</f>
        <v>1083957641</v>
      </c>
      <c r="E2129" t="s">
        <v>2232</v>
      </c>
      <c r="F2129" t="s">
        <v>12</v>
      </c>
      <c r="G2129" s="20">
        <v>1</v>
      </c>
      <c r="H2129" t="s">
        <v>4338</v>
      </c>
      <c r="I2129" t="s">
        <v>32</v>
      </c>
      <c r="J2129" s="9"/>
      <c r="K2129" s="9"/>
      <c r="L2129" s="9"/>
    </row>
    <row r="2130" spans="2:12" ht="15" x14ac:dyDescent="0.25">
      <c r="B2130" t="s">
        <v>2102</v>
      </c>
      <c r="C2130" t="s">
        <v>2103</v>
      </c>
      <c r="D2130" t="str">
        <f>HYPERLINK("https://rhld.insurance.arkansas.gov/NPILookup?Npi=1093002768","1093002768")</f>
        <v>1093002768</v>
      </c>
      <c r="E2130" t="s">
        <v>2233</v>
      </c>
      <c r="F2130" t="s">
        <v>13</v>
      </c>
      <c r="G2130" s="20">
        <v>1</v>
      </c>
      <c r="H2130" t="s">
        <v>4357</v>
      </c>
      <c r="I2130" t="s">
        <v>4357</v>
      </c>
      <c r="J2130" s="9"/>
      <c r="K2130" s="9"/>
      <c r="L2130" s="9"/>
    </row>
    <row r="2131" spans="2:12" ht="15" x14ac:dyDescent="0.25">
      <c r="B2131" t="s">
        <v>2102</v>
      </c>
      <c r="C2131" t="s">
        <v>2103</v>
      </c>
      <c r="D2131" t="str">
        <f>HYPERLINK("https://rhld.insurance.arkansas.gov/NPILookup?Npi=1093009078","1093009078")</f>
        <v>1093009078</v>
      </c>
      <c r="E2131" t="s">
        <v>2234</v>
      </c>
      <c r="F2131" t="s">
        <v>12</v>
      </c>
      <c r="G2131" s="20">
        <v>1</v>
      </c>
      <c r="H2131" t="s">
        <v>4349</v>
      </c>
      <c r="I2131" t="s">
        <v>32</v>
      </c>
      <c r="J2131" s="9"/>
      <c r="K2131" s="9"/>
      <c r="L2131" s="9"/>
    </row>
    <row r="2132" spans="2:12" ht="15" x14ac:dyDescent="0.25">
      <c r="B2132" t="s">
        <v>2102</v>
      </c>
      <c r="C2132" t="s">
        <v>2103</v>
      </c>
      <c r="D2132" t="str">
        <f>HYPERLINK("https://rhld.insurance.arkansas.gov/NPILookup?Npi=1093042541","1093042541")</f>
        <v>1093042541</v>
      </c>
      <c r="E2132" t="s">
        <v>2235</v>
      </c>
      <c r="F2132" t="s">
        <v>13</v>
      </c>
      <c r="G2132" s="20">
        <v>1</v>
      </c>
      <c r="H2132" t="s">
        <v>87</v>
      </c>
      <c r="I2132" t="s">
        <v>4357</v>
      </c>
      <c r="J2132" s="9"/>
      <c r="K2132" s="9"/>
      <c r="L2132" s="9"/>
    </row>
    <row r="2133" spans="2:12" ht="15" x14ac:dyDescent="0.25">
      <c r="B2133" t="s">
        <v>2102</v>
      </c>
      <c r="C2133" t="s">
        <v>2103</v>
      </c>
      <c r="D2133" t="str">
        <f>HYPERLINK("https://rhld.insurance.arkansas.gov/NPILookup?Npi=1093072597","1093072597")</f>
        <v>1093072597</v>
      </c>
      <c r="E2133" t="s">
        <v>2236</v>
      </c>
      <c r="F2133" t="s">
        <v>12</v>
      </c>
      <c r="G2133" s="20">
        <v>1</v>
      </c>
      <c r="H2133" t="s">
        <v>4349</v>
      </c>
      <c r="I2133" t="s">
        <v>32</v>
      </c>
      <c r="J2133" s="9"/>
      <c r="K2133" s="9"/>
      <c r="L2133" s="9"/>
    </row>
    <row r="2134" spans="2:12" ht="15" x14ac:dyDescent="0.25">
      <c r="B2134" t="s">
        <v>2102</v>
      </c>
      <c r="C2134" t="s">
        <v>2103</v>
      </c>
      <c r="D2134" t="str">
        <f>HYPERLINK("https://rhld.insurance.arkansas.gov/NPILookup?Npi=1093101156","1093101156")</f>
        <v>1093101156</v>
      </c>
      <c r="E2134" t="s">
        <v>2237</v>
      </c>
      <c r="F2134" t="s">
        <v>12</v>
      </c>
      <c r="G2134" s="20">
        <v>1</v>
      </c>
      <c r="H2134" t="s">
        <v>4349</v>
      </c>
      <c r="I2134" t="s">
        <v>4357</v>
      </c>
      <c r="J2134" s="9"/>
      <c r="K2134" s="9"/>
      <c r="L2134" s="9"/>
    </row>
    <row r="2135" spans="2:12" ht="15" x14ac:dyDescent="0.25">
      <c r="B2135" t="s">
        <v>2102</v>
      </c>
      <c r="C2135" t="s">
        <v>2103</v>
      </c>
      <c r="D2135" t="str">
        <f>HYPERLINK("https://rhld.insurance.arkansas.gov/NPILookup?Npi=1093156309","1093156309")</f>
        <v>1093156309</v>
      </c>
      <c r="E2135" t="s">
        <v>2051</v>
      </c>
      <c r="F2135" t="s">
        <v>13</v>
      </c>
      <c r="G2135" s="20">
        <v>1</v>
      </c>
      <c r="H2135" t="s">
        <v>4357</v>
      </c>
      <c r="I2135" t="s">
        <v>4357</v>
      </c>
      <c r="J2135" s="9"/>
      <c r="K2135" s="9"/>
      <c r="L2135" s="9"/>
    </row>
    <row r="2136" spans="2:12" ht="15" x14ac:dyDescent="0.25">
      <c r="B2136" t="s">
        <v>2102</v>
      </c>
      <c r="C2136" t="s">
        <v>2103</v>
      </c>
      <c r="D2136" t="str">
        <f>HYPERLINK("https://rhld.insurance.arkansas.gov/NPILookup?Npi=1093160343","1093160343")</f>
        <v>1093160343</v>
      </c>
      <c r="E2136" t="s">
        <v>2238</v>
      </c>
      <c r="F2136" t="s">
        <v>12</v>
      </c>
      <c r="G2136" s="20">
        <v>1</v>
      </c>
      <c r="H2136" t="s">
        <v>4349</v>
      </c>
      <c r="I2136" t="s">
        <v>4357</v>
      </c>
      <c r="J2136" s="9"/>
      <c r="K2136" s="9"/>
      <c r="L2136" s="9"/>
    </row>
    <row r="2137" spans="2:12" ht="15" x14ac:dyDescent="0.25">
      <c r="B2137" t="s">
        <v>2102</v>
      </c>
      <c r="C2137" t="s">
        <v>2103</v>
      </c>
      <c r="D2137" t="str">
        <f>HYPERLINK("https://rhld.insurance.arkansas.gov/NPILookup?Npi=1093274177","1093274177")</f>
        <v>1093274177</v>
      </c>
      <c r="E2137" t="s">
        <v>2239</v>
      </c>
      <c r="F2137" t="s">
        <v>13</v>
      </c>
      <c r="G2137" s="20">
        <v>1</v>
      </c>
      <c r="H2137" t="s">
        <v>4357</v>
      </c>
      <c r="I2137" t="s">
        <v>4357</v>
      </c>
      <c r="J2137" s="9"/>
      <c r="K2137" s="9"/>
      <c r="L2137" s="9"/>
    </row>
    <row r="2138" spans="2:12" ht="15" x14ac:dyDescent="0.25">
      <c r="B2138" t="s">
        <v>2102</v>
      </c>
      <c r="C2138" t="s">
        <v>2103</v>
      </c>
      <c r="D2138" t="str">
        <f>HYPERLINK("https://rhld.insurance.arkansas.gov/NPILookup?Npi=1093413395","1093413395")</f>
        <v>1093413395</v>
      </c>
      <c r="E2138" t="s">
        <v>2240</v>
      </c>
      <c r="F2138" t="s">
        <v>12</v>
      </c>
      <c r="G2138" s="20">
        <v>1</v>
      </c>
      <c r="H2138" t="s">
        <v>4338</v>
      </c>
      <c r="I2138" t="s">
        <v>32</v>
      </c>
      <c r="J2138" s="9"/>
      <c r="K2138" s="9"/>
      <c r="L2138" s="9"/>
    </row>
    <row r="2139" spans="2:12" ht="15" x14ac:dyDescent="0.25">
      <c r="B2139" t="s">
        <v>2102</v>
      </c>
      <c r="C2139" t="s">
        <v>2103</v>
      </c>
      <c r="D2139" t="str">
        <f>HYPERLINK("https://rhld.insurance.arkansas.gov/NPILookup?Npi=1093435869","1093435869")</f>
        <v>1093435869</v>
      </c>
      <c r="E2139" t="s">
        <v>2241</v>
      </c>
      <c r="F2139" t="s">
        <v>13</v>
      </c>
      <c r="G2139" s="20">
        <v>1</v>
      </c>
      <c r="H2139" t="s">
        <v>4357</v>
      </c>
      <c r="I2139" t="s">
        <v>32</v>
      </c>
      <c r="J2139" s="9"/>
      <c r="K2139" s="9"/>
      <c r="L2139" s="9"/>
    </row>
    <row r="2140" spans="2:12" ht="15" x14ac:dyDescent="0.25">
      <c r="B2140" t="s">
        <v>2102</v>
      </c>
      <c r="C2140" t="s">
        <v>2103</v>
      </c>
      <c r="D2140" t="str">
        <f>HYPERLINK("https://rhld.insurance.arkansas.gov/NPILookup?Npi=1093526022","1093526022")</f>
        <v>1093526022</v>
      </c>
      <c r="E2140" t="s">
        <v>2052</v>
      </c>
      <c r="F2140" t="s">
        <v>13</v>
      </c>
      <c r="G2140" s="20">
        <v>1</v>
      </c>
      <c r="H2140" t="s">
        <v>4357</v>
      </c>
      <c r="I2140" t="s">
        <v>4357</v>
      </c>
      <c r="J2140" s="9"/>
      <c r="K2140" s="9"/>
      <c r="L2140" s="9"/>
    </row>
    <row r="2141" spans="2:12" ht="15" x14ac:dyDescent="0.25">
      <c r="B2141" t="s">
        <v>2102</v>
      </c>
      <c r="C2141" t="s">
        <v>2103</v>
      </c>
      <c r="D2141" t="str">
        <f>HYPERLINK("https://rhld.insurance.arkansas.gov/NPILookup?Npi=1093548711","1093548711")</f>
        <v>1093548711</v>
      </c>
      <c r="E2141" t="s">
        <v>2053</v>
      </c>
      <c r="F2141" t="s">
        <v>13</v>
      </c>
      <c r="G2141" s="20">
        <v>1</v>
      </c>
      <c r="H2141" t="s">
        <v>4357</v>
      </c>
      <c r="I2141" t="s">
        <v>4357</v>
      </c>
      <c r="J2141" s="9"/>
      <c r="K2141" s="9"/>
      <c r="L2141" s="9"/>
    </row>
    <row r="2142" spans="2:12" ht="15" x14ac:dyDescent="0.25">
      <c r="B2142" t="s">
        <v>2102</v>
      </c>
      <c r="C2142" t="s">
        <v>2103</v>
      </c>
      <c r="D2142" t="str">
        <f>HYPERLINK("https://rhld.insurance.arkansas.gov/NPILookup?Npi=1093550741","1093550741")</f>
        <v>1093550741</v>
      </c>
      <c r="E2142" t="s">
        <v>1554</v>
      </c>
      <c r="F2142" t="s">
        <v>13</v>
      </c>
      <c r="G2142" s="20">
        <v>1</v>
      </c>
      <c r="H2142" t="s">
        <v>4357</v>
      </c>
      <c r="I2142" t="s">
        <v>4357</v>
      </c>
      <c r="J2142" s="9"/>
      <c r="K2142" s="9"/>
      <c r="L2142" s="9"/>
    </row>
    <row r="2143" spans="2:12" ht="15" x14ac:dyDescent="0.25">
      <c r="B2143" t="s">
        <v>2102</v>
      </c>
      <c r="C2143" t="s">
        <v>2103</v>
      </c>
      <c r="D2143" t="str">
        <f>HYPERLINK("https://rhld.insurance.arkansas.gov/NPILookup?Npi=1093579096","1093579096")</f>
        <v>1093579096</v>
      </c>
      <c r="E2143" t="s">
        <v>2242</v>
      </c>
      <c r="F2143" t="s">
        <v>13</v>
      </c>
      <c r="G2143" s="20">
        <v>1</v>
      </c>
      <c r="H2143" t="s">
        <v>4357</v>
      </c>
      <c r="I2143" t="s">
        <v>4357</v>
      </c>
      <c r="J2143" s="9"/>
      <c r="K2143" s="9"/>
      <c r="L2143" s="9"/>
    </row>
    <row r="2144" spans="2:12" ht="15" x14ac:dyDescent="0.25">
      <c r="B2144" t="s">
        <v>2102</v>
      </c>
      <c r="C2144" t="s">
        <v>2103</v>
      </c>
      <c r="D2144" t="str">
        <f>HYPERLINK("https://rhld.insurance.arkansas.gov/NPILookup?Npi=1093751232","1093751232")</f>
        <v>1093751232</v>
      </c>
      <c r="E2144" t="s">
        <v>2243</v>
      </c>
      <c r="F2144" t="s">
        <v>12</v>
      </c>
      <c r="G2144" s="20">
        <v>1</v>
      </c>
      <c r="H2144" t="s">
        <v>4338</v>
      </c>
      <c r="I2144" t="s">
        <v>4357</v>
      </c>
      <c r="J2144" s="9"/>
      <c r="K2144" s="9"/>
      <c r="L2144" s="9"/>
    </row>
    <row r="2145" spans="2:12" ht="15" x14ac:dyDescent="0.25">
      <c r="B2145" t="s">
        <v>2102</v>
      </c>
      <c r="C2145" t="s">
        <v>2103</v>
      </c>
      <c r="D2145" t="str">
        <f>HYPERLINK("https://rhld.insurance.arkansas.gov/NPILookup?Npi=1093772923","1093772923")</f>
        <v>1093772923</v>
      </c>
      <c r="E2145" t="s">
        <v>973</v>
      </c>
      <c r="F2145" t="s">
        <v>12</v>
      </c>
      <c r="G2145" s="20">
        <v>1</v>
      </c>
      <c r="H2145" t="s">
        <v>4349</v>
      </c>
      <c r="I2145" t="s">
        <v>4357</v>
      </c>
      <c r="J2145" s="9"/>
      <c r="K2145" s="9"/>
      <c r="L2145" s="9"/>
    </row>
    <row r="2146" spans="2:12" ht="15" x14ac:dyDescent="0.25">
      <c r="B2146" t="s">
        <v>2102</v>
      </c>
      <c r="C2146" t="s">
        <v>2103</v>
      </c>
      <c r="D2146" t="str">
        <f>HYPERLINK("https://rhld.insurance.arkansas.gov/NPILookup?Npi=1093875635","1093875635")</f>
        <v>1093875635</v>
      </c>
      <c r="E2146" t="s">
        <v>3476</v>
      </c>
      <c r="F2146" t="s">
        <v>12</v>
      </c>
      <c r="G2146" s="20">
        <v>1</v>
      </c>
      <c r="H2146" t="s">
        <v>4349</v>
      </c>
      <c r="I2146" t="s">
        <v>32</v>
      </c>
      <c r="J2146" s="9"/>
      <c r="K2146" s="9"/>
      <c r="L2146" s="9"/>
    </row>
    <row r="2147" spans="2:12" ht="15" x14ac:dyDescent="0.25">
      <c r="B2147" t="s">
        <v>2102</v>
      </c>
      <c r="C2147" t="s">
        <v>2103</v>
      </c>
      <c r="D2147" t="str">
        <f>HYPERLINK("https://rhld.insurance.arkansas.gov/NPILookup?Npi=1093887945","1093887945")</f>
        <v>1093887945</v>
      </c>
      <c r="E2147" t="s">
        <v>1555</v>
      </c>
      <c r="F2147" t="s">
        <v>12</v>
      </c>
      <c r="G2147" s="20">
        <v>1</v>
      </c>
      <c r="H2147" t="s">
        <v>4338</v>
      </c>
      <c r="I2147" t="s">
        <v>4357</v>
      </c>
      <c r="J2147" s="9"/>
      <c r="K2147" s="9"/>
      <c r="L2147" s="9"/>
    </row>
    <row r="2148" spans="2:12" ht="15" x14ac:dyDescent="0.25">
      <c r="B2148" t="s">
        <v>2102</v>
      </c>
      <c r="C2148" t="s">
        <v>2103</v>
      </c>
      <c r="D2148" t="str">
        <f>HYPERLINK("https://rhld.insurance.arkansas.gov/NPILookup?Npi=1093891269","1093891269")</f>
        <v>1093891269</v>
      </c>
      <c r="E2148" t="s">
        <v>4481</v>
      </c>
      <c r="F2148" t="s">
        <v>12</v>
      </c>
      <c r="G2148" s="20">
        <v>1</v>
      </c>
      <c r="H2148" t="s">
        <v>4349</v>
      </c>
      <c r="I2148" t="s">
        <v>32</v>
      </c>
      <c r="J2148" s="9"/>
      <c r="K2148" s="9"/>
      <c r="L2148" s="9"/>
    </row>
    <row r="2149" spans="2:12" ht="15" x14ac:dyDescent="0.25">
      <c r="B2149" t="s">
        <v>2102</v>
      </c>
      <c r="C2149" t="s">
        <v>2103</v>
      </c>
      <c r="D2149" t="str">
        <f>HYPERLINK("https://rhld.insurance.arkansas.gov/NPILookup?Npi=1104104330","1104104330")</f>
        <v>1104104330</v>
      </c>
      <c r="E2149" t="s">
        <v>2247</v>
      </c>
      <c r="F2149" t="s">
        <v>12</v>
      </c>
      <c r="G2149" s="20">
        <v>1</v>
      </c>
      <c r="H2149" t="s">
        <v>4349</v>
      </c>
      <c r="I2149" t="s">
        <v>32</v>
      </c>
      <c r="J2149" s="9"/>
      <c r="K2149" s="9"/>
      <c r="L2149" s="9"/>
    </row>
    <row r="2150" spans="2:12" ht="15" x14ac:dyDescent="0.25">
      <c r="B2150" t="s">
        <v>2102</v>
      </c>
      <c r="C2150" t="s">
        <v>2103</v>
      </c>
      <c r="D2150" t="str">
        <f>HYPERLINK("https://rhld.insurance.arkansas.gov/NPILookup?Npi=1104181973","1104181973")</f>
        <v>1104181973</v>
      </c>
      <c r="E2150" t="s">
        <v>2248</v>
      </c>
      <c r="F2150" t="s">
        <v>12</v>
      </c>
      <c r="G2150" s="20">
        <v>1</v>
      </c>
      <c r="H2150" t="s">
        <v>4349</v>
      </c>
      <c r="I2150" t="s">
        <v>4357</v>
      </c>
      <c r="J2150" s="9"/>
      <c r="K2150" s="9"/>
      <c r="L2150" s="9"/>
    </row>
    <row r="2151" spans="2:12" ht="15" x14ac:dyDescent="0.25">
      <c r="B2151" t="s">
        <v>2102</v>
      </c>
      <c r="C2151" t="s">
        <v>2103</v>
      </c>
      <c r="D2151" t="str">
        <f>HYPERLINK("https://rhld.insurance.arkansas.gov/NPILookup?Npi=1104213842","1104213842")</f>
        <v>1104213842</v>
      </c>
      <c r="E2151" t="s">
        <v>2249</v>
      </c>
      <c r="F2151" t="s">
        <v>12</v>
      </c>
      <c r="G2151" s="20">
        <v>1</v>
      </c>
      <c r="H2151" t="s">
        <v>4338</v>
      </c>
      <c r="I2151" t="s">
        <v>32</v>
      </c>
      <c r="J2151" s="9"/>
      <c r="K2151" s="9"/>
      <c r="L2151" s="9"/>
    </row>
    <row r="2152" spans="2:12" ht="15" x14ac:dyDescent="0.25">
      <c r="B2152" t="s">
        <v>2102</v>
      </c>
      <c r="C2152" t="s">
        <v>2103</v>
      </c>
      <c r="D2152" t="str">
        <f>HYPERLINK("https://rhld.insurance.arkansas.gov/NPILookup?Npi=1104251180","1104251180")</f>
        <v>1104251180</v>
      </c>
      <c r="E2152" t="s">
        <v>2250</v>
      </c>
      <c r="F2152" t="s">
        <v>12</v>
      </c>
      <c r="G2152" s="20">
        <v>1</v>
      </c>
      <c r="H2152" t="s">
        <v>4338</v>
      </c>
      <c r="I2152" t="s">
        <v>32</v>
      </c>
      <c r="J2152" s="9"/>
      <c r="K2152" s="9"/>
      <c r="L2152" s="9"/>
    </row>
    <row r="2153" spans="2:12" ht="15" x14ac:dyDescent="0.25">
      <c r="B2153" t="s">
        <v>2102</v>
      </c>
      <c r="C2153" t="s">
        <v>2103</v>
      </c>
      <c r="D2153" t="str">
        <f>HYPERLINK("https://rhld.insurance.arkansas.gov/NPILookup?Npi=1104258979","1104258979")</f>
        <v>1104258979</v>
      </c>
      <c r="E2153" t="s">
        <v>2251</v>
      </c>
      <c r="F2153" t="s">
        <v>12</v>
      </c>
      <c r="G2153" s="20">
        <v>1</v>
      </c>
      <c r="H2153" t="s">
        <v>4349</v>
      </c>
      <c r="I2153" t="s">
        <v>4357</v>
      </c>
      <c r="J2153" s="9"/>
      <c r="K2153" s="9"/>
      <c r="L2153" s="9"/>
    </row>
    <row r="2154" spans="2:12" ht="15" x14ac:dyDescent="0.25">
      <c r="B2154" t="s">
        <v>2102</v>
      </c>
      <c r="C2154" t="s">
        <v>2103</v>
      </c>
      <c r="D2154" t="str">
        <f>HYPERLINK("https://rhld.insurance.arkansas.gov/NPILookup?Npi=1104267434","1104267434")</f>
        <v>1104267434</v>
      </c>
      <c r="E2154" t="s">
        <v>2252</v>
      </c>
      <c r="F2154" t="s">
        <v>12</v>
      </c>
      <c r="G2154" s="20">
        <v>1</v>
      </c>
      <c r="H2154" t="s">
        <v>4349</v>
      </c>
      <c r="I2154" t="s">
        <v>4357</v>
      </c>
      <c r="J2154" s="9"/>
      <c r="K2154" s="9"/>
      <c r="L2154" s="9"/>
    </row>
    <row r="2155" spans="2:12" ht="15" x14ac:dyDescent="0.25">
      <c r="B2155" t="s">
        <v>2102</v>
      </c>
      <c r="C2155" t="s">
        <v>2103</v>
      </c>
      <c r="D2155" t="str">
        <f>HYPERLINK("https://rhld.insurance.arkansas.gov/NPILookup?Npi=1104287747","1104287747")</f>
        <v>1104287747</v>
      </c>
      <c r="E2155" t="s">
        <v>4482</v>
      </c>
      <c r="F2155" t="s">
        <v>12</v>
      </c>
      <c r="G2155" s="20">
        <v>1</v>
      </c>
      <c r="H2155" t="s">
        <v>4349</v>
      </c>
      <c r="I2155" t="s">
        <v>32</v>
      </c>
      <c r="J2155" s="9"/>
      <c r="K2155" s="9"/>
      <c r="L2155" s="9"/>
    </row>
    <row r="2156" spans="2:12" ht="15" x14ac:dyDescent="0.25">
      <c r="B2156" t="s">
        <v>2102</v>
      </c>
      <c r="C2156" t="s">
        <v>2103</v>
      </c>
      <c r="D2156" t="str">
        <f>HYPERLINK("https://rhld.insurance.arkansas.gov/NPILookup?Npi=1104306588","1104306588")</f>
        <v>1104306588</v>
      </c>
      <c r="E2156" t="s">
        <v>2054</v>
      </c>
      <c r="F2156" t="s">
        <v>13</v>
      </c>
      <c r="G2156" s="20">
        <v>1</v>
      </c>
      <c r="H2156" t="s">
        <v>4357</v>
      </c>
      <c r="I2156" t="s">
        <v>4357</v>
      </c>
      <c r="J2156" s="9"/>
      <c r="K2156" s="9"/>
      <c r="L2156" s="9"/>
    </row>
    <row r="2157" spans="2:12" ht="15" x14ac:dyDescent="0.25">
      <c r="B2157" t="s">
        <v>2102</v>
      </c>
      <c r="C2157" t="s">
        <v>2103</v>
      </c>
      <c r="D2157" t="str">
        <f>HYPERLINK("https://rhld.insurance.arkansas.gov/NPILookup?Npi=1104313386","1104313386")</f>
        <v>1104313386</v>
      </c>
      <c r="E2157" t="s">
        <v>2253</v>
      </c>
      <c r="F2157" t="s">
        <v>13</v>
      </c>
      <c r="G2157" s="20">
        <v>1</v>
      </c>
      <c r="H2157" t="s">
        <v>87</v>
      </c>
      <c r="I2157" t="s">
        <v>4357</v>
      </c>
      <c r="J2157" s="9"/>
      <c r="K2157" s="9"/>
      <c r="L2157" s="9"/>
    </row>
    <row r="2158" spans="2:12" ht="15" x14ac:dyDescent="0.25">
      <c r="B2158" t="s">
        <v>2102</v>
      </c>
      <c r="C2158" t="s">
        <v>2103</v>
      </c>
      <c r="D2158" t="str">
        <f>HYPERLINK("https://rhld.insurance.arkansas.gov/NPILookup?Npi=1104385632","1104385632")</f>
        <v>1104385632</v>
      </c>
      <c r="E2158" t="s">
        <v>2055</v>
      </c>
      <c r="F2158" t="s">
        <v>13</v>
      </c>
      <c r="G2158" s="20">
        <v>1</v>
      </c>
      <c r="H2158" t="s">
        <v>4357</v>
      </c>
      <c r="I2158" t="s">
        <v>4357</v>
      </c>
      <c r="J2158" s="9"/>
      <c r="K2158" s="9"/>
      <c r="L2158" s="9"/>
    </row>
    <row r="2159" spans="2:12" ht="15" x14ac:dyDescent="0.25">
      <c r="B2159" t="s">
        <v>2102</v>
      </c>
      <c r="C2159" t="s">
        <v>2103</v>
      </c>
      <c r="D2159" t="str">
        <f>HYPERLINK("https://rhld.insurance.arkansas.gov/NPILookup?Npi=1104401025","1104401025")</f>
        <v>1104401025</v>
      </c>
      <c r="E2159" t="s">
        <v>2254</v>
      </c>
      <c r="F2159" t="s">
        <v>12</v>
      </c>
      <c r="G2159" s="20">
        <v>1</v>
      </c>
      <c r="H2159" t="s">
        <v>4338</v>
      </c>
      <c r="I2159" t="s">
        <v>32</v>
      </c>
      <c r="J2159" s="9"/>
      <c r="K2159" s="9"/>
      <c r="L2159" s="9"/>
    </row>
    <row r="2160" spans="2:12" ht="15" x14ac:dyDescent="0.25">
      <c r="B2160" t="s">
        <v>2102</v>
      </c>
      <c r="C2160" t="s">
        <v>2103</v>
      </c>
      <c r="D2160" t="str">
        <f>HYPERLINK("https://rhld.insurance.arkansas.gov/NPILookup?Npi=1104433341","1104433341")</f>
        <v>1104433341</v>
      </c>
      <c r="E2160" t="s">
        <v>2255</v>
      </c>
      <c r="F2160" t="s">
        <v>13</v>
      </c>
      <c r="G2160" s="20">
        <v>2</v>
      </c>
      <c r="H2160" t="s">
        <v>439</v>
      </c>
      <c r="I2160" t="s">
        <v>4357</v>
      </c>
      <c r="J2160" s="9"/>
      <c r="K2160" s="9"/>
      <c r="L2160" s="9"/>
    </row>
    <row r="2161" spans="2:12" ht="15" x14ac:dyDescent="0.25">
      <c r="B2161" t="s">
        <v>2102</v>
      </c>
      <c r="C2161" t="s">
        <v>2103</v>
      </c>
      <c r="D2161" t="str">
        <f>HYPERLINK("https://rhld.insurance.arkansas.gov/NPILookup?Npi=1104459114","1104459114")</f>
        <v>1104459114</v>
      </c>
      <c r="E2161" t="s">
        <v>2256</v>
      </c>
      <c r="F2161" t="s">
        <v>12</v>
      </c>
      <c r="G2161" s="20">
        <v>1</v>
      </c>
      <c r="H2161" t="s">
        <v>4338</v>
      </c>
      <c r="I2161" t="s">
        <v>32</v>
      </c>
      <c r="J2161" s="9"/>
      <c r="K2161" s="9"/>
      <c r="L2161" s="9"/>
    </row>
    <row r="2162" spans="2:12" ht="15" x14ac:dyDescent="0.25">
      <c r="B2162" t="s">
        <v>2102</v>
      </c>
      <c r="C2162" t="s">
        <v>2103</v>
      </c>
      <c r="D2162" t="str">
        <f>HYPERLINK("https://rhld.insurance.arkansas.gov/NPILookup?Npi=1104464445","1104464445")</f>
        <v>1104464445</v>
      </c>
      <c r="E2162" t="s">
        <v>2257</v>
      </c>
      <c r="F2162" t="s">
        <v>12</v>
      </c>
      <c r="G2162" s="20">
        <v>1</v>
      </c>
      <c r="H2162" t="s">
        <v>4338</v>
      </c>
      <c r="I2162" t="s">
        <v>32</v>
      </c>
      <c r="J2162" s="9"/>
      <c r="K2162" s="9"/>
      <c r="L2162" s="9"/>
    </row>
    <row r="2163" spans="2:12" ht="15" x14ac:dyDescent="0.25">
      <c r="B2163" t="s">
        <v>2102</v>
      </c>
      <c r="C2163" t="s">
        <v>2103</v>
      </c>
      <c r="D2163" t="str">
        <f>HYPERLINK("https://rhld.insurance.arkansas.gov/NPILookup?Npi=1104507300","1104507300")</f>
        <v>1104507300</v>
      </c>
      <c r="E2163" t="s">
        <v>2258</v>
      </c>
      <c r="F2163" t="s">
        <v>13</v>
      </c>
      <c r="G2163" s="20">
        <v>2</v>
      </c>
      <c r="H2163" t="s">
        <v>439</v>
      </c>
      <c r="I2163" t="s">
        <v>4357</v>
      </c>
      <c r="J2163" s="9"/>
      <c r="K2163" s="9"/>
      <c r="L2163" s="9"/>
    </row>
    <row r="2164" spans="2:12" ht="15" x14ac:dyDescent="0.25">
      <c r="B2164" t="s">
        <v>2102</v>
      </c>
      <c r="C2164" t="s">
        <v>2103</v>
      </c>
      <c r="D2164" t="str">
        <f>HYPERLINK("https://rhld.insurance.arkansas.gov/NPILookup?Npi=1104627066","1104627066")</f>
        <v>1104627066</v>
      </c>
      <c r="E2164" t="s">
        <v>2259</v>
      </c>
      <c r="F2164" t="s">
        <v>13</v>
      </c>
      <c r="G2164" s="20">
        <v>1</v>
      </c>
      <c r="H2164" t="s">
        <v>4357</v>
      </c>
      <c r="I2164" t="s">
        <v>4357</v>
      </c>
      <c r="J2164" s="9"/>
      <c r="K2164" s="9"/>
      <c r="L2164" s="9"/>
    </row>
    <row r="2165" spans="2:12" ht="15" x14ac:dyDescent="0.25">
      <c r="B2165" t="s">
        <v>2102</v>
      </c>
      <c r="C2165" t="s">
        <v>2103</v>
      </c>
      <c r="D2165" t="str">
        <f>HYPERLINK("https://rhld.insurance.arkansas.gov/NPILookup?Npi=1104696186","1104696186")</f>
        <v>1104696186</v>
      </c>
      <c r="E2165" t="s">
        <v>2056</v>
      </c>
      <c r="F2165" t="s">
        <v>13</v>
      </c>
      <c r="G2165" s="20">
        <v>1</v>
      </c>
      <c r="H2165" t="s">
        <v>4357</v>
      </c>
      <c r="I2165" t="s">
        <v>4357</v>
      </c>
      <c r="J2165" s="9"/>
      <c r="K2165" s="9"/>
      <c r="L2165" s="9"/>
    </row>
    <row r="2166" spans="2:12" ht="15" x14ac:dyDescent="0.25">
      <c r="B2166" t="s">
        <v>2102</v>
      </c>
      <c r="C2166" t="s">
        <v>2103</v>
      </c>
      <c r="D2166" t="str">
        <f>HYPERLINK("https://rhld.insurance.arkansas.gov/NPILookup?Npi=1104822634","1104822634")</f>
        <v>1104822634</v>
      </c>
      <c r="E2166" t="s">
        <v>2260</v>
      </c>
      <c r="F2166" t="s">
        <v>12</v>
      </c>
      <c r="G2166" s="20">
        <v>1</v>
      </c>
      <c r="H2166" t="s">
        <v>141</v>
      </c>
      <c r="I2166" t="s">
        <v>32</v>
      </c>
      <c r="J2166" s="9"/>
      <c r="K2166" s="9"/>
      <c r="L2166" s="9"/>
    </row>
    <row r="2167" spans="2:12" ht="15" x14ac:dyDescent="0.25">
      <c r="B2167" t="s">
        <v>2102</v>
      </c>
      <c r="C2167" t="s">
        <v>2103</v>
      </c>
      <c r="D2167" t="str">
        <f>HYPERLINK("https://rhld.insurance.arkansas.gov/NPILookup?Npi=1104842483","1104842483")</f>
        <v>1104842483</v>
      </c>
      <c r="E2167" t="s">
        <v>1395</v>
      </c>
      <c r="F2167" t="s">
        <v>12</v>
      </c>
      <c r="G2167" s="20">
        <v>1</v>
      </c>
      <c r="H2167" t="s">
        <v>4349</v>
      </c>
      <c r="I2167" t="s">
        <v>32</v>
      </c>
      <c r="J2167" s="9"/>
      <c r="K2167" s="9"/>
      <c r="L2167" s="9"/>
    </row>
    <row r="2168" spans="2:12" ht="15" x14ac:dyDescent="0.25">
      <c r="B2168" t="s">
        <v>2102</v>
      </c>
      <c r="C2168" t="s">
        <v>2103</v>
      </c>
      <c r="D2168" t="str">
        <f>HYPERLINK("https://rhld.insurance.arkansas.gov/NPILookup?Npi=1104874957","1104874957")</f>
        <v>1104874957</v>
      </c>
      <c r="E2168" t="s">
        <v>150</v>
      </c>
      <c r="F2168" t="s">
        <v>12</v>
      </c>
      <c r="G2168" s="20">
        <v>1</v>
      </c>
      <c r="H2168" t="s">
        <v>4349</v>
      </c>
      <c r="I2168" t="s">
        <v>4357</v>
      </c>
      <c r="J2168" s="9"/>
      <c r="K2168" s="9"/>
      <c r="L2168" s="9"/>
    </row>
    <row r="2169" spans="2:12" ht="15" x14ac:dyDescent="0.25">
      <c r="B2169" t="s">
        <v>2102</v>
      </c>
      <c r="C2169" t="s">
        <v>2103</v>
      </c>
      <c r="D2169" t="str">
        <f>HYPERLINK("https://rhld.insurance.arkansas.gov/NPILookup?Npi=1104919182","1104919182")</f>
        <v>1104919182</v>
      </c>
      <c r="E2169" t="s">
        <v>2262</v>
      </c>
      <c r="F2169" t="s">
        <v>12</v>
      </c>
      <c r="G2169" s="20">
        <v>1</v>
      </c>
      <c r="H2169" t="s">
        <v>4349</v>
      </c>
      <c r="I2169" t="s">
        <v>32</v>
      </c>
      <c r="J2169" s="9"/>
      <c r="K2169" s="9"/>
      <c r="L2169" s="9"/>
    </row>
    <row r="2170" spans="2:12" ht="15" x14ac:dyDescent="0.25">
      <c r="B2170" t="s">
        <v>2102</v>
      </c>
      <c r="C2170" t="s">
        <v>2103</v>
      </c>
      <c r="D2170" t="str">
        <f>HYPERLINK("https://rhld.insurance.arkansas.gov/NPILookup?Npi=1104939636","1104939636")</f>
        <v>1104939636</v>
      </c>
      <c r="E2170" t="s">
        <v>4483</v>
      </c>
      <c r="F2170" t="s">
        <v>12</v>
      </c>
      <c r="G2170" s="20">
        <v>1</v>
      </c>
      <c r="H2170" t="s">
        <v>4349</v>
      </c>
      <c r="I2170" t="s">
        <v>32</v>
      </c>
      <c r="J2170" s="9"/>
      <c r="K2170" s="9"/>
      <c r="L2170" s="9"/>
    </row>
    <row r="2171" spans="2:12" ht="15" x14ac:dyDescent="0.25">
      <c r="B2171" t="s">
        <v>2102</v>
      </c>
      <c r="C2171" t="s">
        <v>2103</v>
      </c>
      <c r="D2171" t="str">
        <f>HYPERLINK("https://rhld.insurance.arkansas.gov/NPILookup?Npi=1114302650","1114302650")</f>
        <v>1114302650</v>
      </c>
      <c r="E2171" t="s">
        <v>2263</v>
      </c>
      <c r="F2171" t="s">
        <v>12</v>
      </c>
      <c r="G2171" s="20">
        <v>1</v>
      </c>
      <c r="H2171" t="s">
        <v>4349</v>
      </c>
      <c r="I2171" t="s">
        <v>32</v>
      </c>
      <c r="J2171" s="9"/>
      <c r="K2171" s="9"/>
      <c r="L2171" s="9"/>
    </row>
    <row r="2172" spans="2:12" ht="15" x14ac:dyDescent="0.25">
      <c r="B2172" t="s">
        <v>2102</v>
      </c>
      <c r="C2172" t="s">
        <v>2103</v>
      </c>
      <c r="D2172" t="str">
        <f>HYPERLINK("https://rhld.insurance.arkansas.gov/NPILookup?Npi=1114310711","1114310711")</f>
        <v>1114310711</v>
      </c>
      <c r="E2172" t="s">
        <v>2264</v>
      </c>
      <c r="F2172" t="s">
        <v>13</v>
      </c>
      <c r="G2172" s="20">
        <v>1</v>
      </c>
      <c r="H2172" t="s">
        <v>4357</v>
      </c>
      <c r="I2172" t="s">
        <v>4357</v>
      </c>
      <c r="J2172" s="9"/>
      <c r="K2172" s="9"/>
      <c r="L2172" s="9"/>
    </row>
    <row r="2173" spans="2:12" ht="15" x14ac:dyDescent="0.25">
      <c r="B2173" t="s">
        <v>2102</v>
      </c>
      <c r="C2173" t="s">
        <v>2103</v>
      </c>
      <c r="D2173" t="str">
        <f>HYPERLINK("https://rhld.insurance.arkansas.gov/NPILookup?Npi=1114334471","1114334471")</f>
        <v>1114334471</v>
      </c>
      <c r="E2173" t="s">
        <v>2265</v>
      </c>
      <c r="F2173" t="s">
        <v>12</v>
      </c>
      <c r="G2173" s="20">
        <v>1</v>
      </c>
      <c r="H2173" t="s">
        <v>4338</v>
      </c>
      <c r="I2173" t="s">
        <v>32</v>
      </c>
      <c r="J2173" s="9"/>
      <c r="K2173" s="9"/>
      <c r="L2173" s="9"/>
    </row>
    <row r="2174" spans="2:12" ht="15" x14ac:dyDescent="0.25">
      <c r="B2174" t="s">
        <v>2102</v>
      </c>
      <c r="C2174" t="s">
        <v>2103</v>
      </c>
      <c r="D2174" t="str">
        <f>HYPERLINK("https://rhld.insurance.arkansas.gov/NPILookup?Npi=1114556123","1114556123")</f>
        <v>1114556123</v>
      </c>
      <c r="E2174" t="s">
        <v>2266</v>
      </c>
      <c r="F2174" t="s">
        <v>12</v>
      </c>
      <c r="G2174" s="20">
        <v>1</v>
      </c>
      <c r="H2174" t="s">
        <v>4349</v>
      </c>
      <c r="I2174" t="s">
        <v>32</v>
      </c>
      <c r="J2174" s="9"/>
      <c r="K2174" s="9"/>
      <c r="L2174" s="9"/>
    </row>
    <row r="2175" spans="2:12" ht="15" x14ac:dyDescent="0.25">
      <c r="B2175" t="s">
        <v>2102</v>
      </c>
      <c r="C2175" t="s">
        <v>2103</v>
      </c>
      <c r="D2175" t="str">
        <f>HYPERLINK("https://rhld.insurance.arkansas.gov/NPILookup?Npi=1114556594","1114556594")</f>
        <v>1114556594</v>
      </c>
      <c r="E2175" t="s">
        <v>432</v>
      </c>
      <c r="F2175" t="s">
        <v>13</v>
      </c>
      <c r="G2175" s="20">
        <v>1</v>
      </c>
      <c r="H2175" t="s">
        <v>4357</v>
      </c>
      <c r="I2175" t="s">
        <v>4357</v>
      </c>
      <c r="J2175" s="9"/>
      <c r="K2175" s="9"/>
      <c r="L2175" s="9"/>
    </row>
    <row r="2176" spans="2:12" ht="15" x14ac:dyDescent="0.25">
      <c r="B2176" t="s">
        <v>2102</v>
      </c>
      <c r="C2176" t="s">
        <v>2103</v>
      </c>
      <c r="D2176" t="str">
        <f>HYPERLINK("https://rhld.insurance.arkansas.gov/NPILookup?Npi=1114564028","1114564028")</f>
        <v>1114564028</v>
      </c>
      <c r="E2176" t="s">
        <v>2267</v>
      </c>
      <c r="F2176" t="s">
        <v>12</v>
      </c>
      <c r="G2176" s="20">
        <v>1</v>
      </c>
      <c r="H2176" t="s">
        <v>4338</v>
      </c>
      <c r="I2176" t="s">
        <v>32</v>
      </c>
      <c r="J2176" s="9"/>
      <c r="K2176" s="9"/>
      <c r="L2176" s="9"/>
    </row>
    <row r="2177" spans="2:12" ht="15" x14ac:dyDescent="0.25">
      <c r="B2177" t="s">
        <v>2102</v>
      </c>
      <c r="C2177" t="s">
        <v>2103</v>
      </c>
      <c r="D2177" t="str">
        <f>HYPERLINK("https://rhld.insurance.arkansas.gov/NPILookup?Npi=1114565538","1114565538")</f>
        <v>1114565538</v>
      </c>
      <c r="E2177" t="s">
        <v>2268</v>
      </c>
      <c r="F2177" t="s">
        <v>12</v>
      </c>
      <c r="G2177" s="20">
        <v>1</v>
      </c>
      <c r="H2177" t="s">
        <v>4338</v>
      </c>
      <c r="I2177" t="s">
        <v>32</v>
      </c>
      <c r="J2177" s="9"/>
      <c r="K2177" s="9"/>
      <c r="L2177" s="9"/>
    </row>
    <row r="2178" spans="2:12" ht="15" x14ac:dyDescent="0.25">
      <c r="B2178" t="s">
        <v>2102</v>
      </c>
      <c r="C2178" t="s">
        <v>2103</v>
      </c>
      <c r="D2178" t="str">
        <f>HYPERLINK("https://rhld.insurance.arkansas.gov/NPILookup?Npi=1114569167","1114569167")</f>
        <v>1114569167</v>
      </c>
      <c r="E2178" t="s">
        <v>1561</v>
      </c>
      <c r="F2178" t="s">
        <v>12</v>
      </c>
      <c r="G2178" s="20">
        <v>1</v>
      </c>
      <c r="H2178" t="s">
        <v>4338</v>
      </c>
      <c r="I2178" t="s">
        <v>32</v>
      </c>
      <c r="J2178" s="9"/>
      <c r="K2178" s="9"/>
      <c r="L2178" s="9"/>
    </row>
    <row r="2179" spans="2:12" ht="15" x14ac:dyDescent="0.25">
      <c r="B2179" t="s">
        <v>2102</v>
      </c>
      <c r="C2179" t="s">
        <v>2103</v>
      </c>
      <c r="D2179" t="str">
        <f>HYPERLINK("https://rhld.insurance.arkansas.gov/NPILookup?Npi=1114571072","1114571072")</f>
        <v>1114571072</v>
      </c>
      <c r="E2179" t="s">
        <v>2269</v>
      </c>
      <c r="F2179" t="s">
        <v>12</v>
      </c>
      <c r="G2179" s="20">
        <v>1</v>
      </c>
      <c r="H2179" t="s">
        <v>4338</v>
      </c>
      <c r="I2179" t="s">
        <v>32</v>
      </c>
      <c r="J2179" s="9"/>
      <c r="K2179" s="9"/>
      <c r="L2179" s="9"/>
    </row>
    <row r="2180" spans="2:12" ht="15" x14ac:dyDescent="0.25">
      <c r="B2180" t="s">
        <v>2102</v>
      </c>
      <c r="C2180" t="s">
        <v>2103</v>
      </c>
      <c r="D2180" t="str">
        <f>HYPERLINK("https://rhld.insurance.arkansas.gov/NPILookup?Npi=1114578168","1114578168")</f>
        <v>1114578168</v>
      </c>
      <c r="E2180" t="s">
        <v>2270</v>
      </c>
      <c r="F2180" t="s">
        <v>12</v>
      </c>
      <c r="G2180" s="20">
        <v>1</v>
      </c>
      <c r="H2180" t="s">
        <v>4338</v>
      </c>
      <c r="I2180" t="s">
        <v>32</v>
      </c>
      <c r="J2180" s="9"/>
      <c r="K2180" s="9"/>
      <c r="L2180" s="9"/>
    </row>
    <row r="2181" spans="2:12" ht="15" x14ac:dyDescent="0.25">
      <c r="B2181" t="s">
        <v>2102</v>
      </c>
      <c r="C2181" t="s">
        <v>2103</v>
      </c>
      <c r="D2181" t="str">
        <f>HYPERLINK("https://rhld.insurance.arkansas.gov/NPILookup?Npi=1114627163","1114627163")</f>
        <v>1114627163</v>
      </c>
      <c r="E2181" t="s">
        <v>1562</v>
      </c>
      <c r="F2181" t="s">
        <v>12</v>
      </c>
      <c r="G2181" s="20">
        <v>1</v>
      </c>
      <c r="H2181" t="s">
        <v>4338</v>
      </c>
      <c r="I2181" t="s">
        <v>32</v>
      </c>
      <c r="J2181" s="9"/>
      <c r="K2181" s="9"/>
      <c r="L2181" s="9"/>
    </row>
    <row r="2182" spans="2:12" ht="15" x14ac:dyDescent="0.25">
      <c r="B2182" t="s">
        <v>2102</v>
      </c>
      <c r="C2182" t="s">
        <v>2103</v>
      </c>
      <c r="D2182" t="str">
        <f>HYPERLINK("https://rhld.insurance.arkansas.gov/NPILookup?Npi=1114747680","1114747680")</f>
        <v>1114747680</v>
      </c>
      <c r="E2182" t="s">
        <v>2271</v>
      </c>
      <c r="F2182" t="s">
        <v>13</v>
      </c>
      <c r="G2182" s="20">
        <v>2</v>
      </c>
      <c r="H2182" t="s">
        <v>439</v>
      </c>
      <c r="I2182" t="s">
        <v>4357</v>
      </c>
      <c r="J2182" s="9"/>
      <c r="K2182" s="9"/>
      <c r="L2182" s="9"/>
    </row>
    <row r="2183" spans="2:12" ht="15" x14ac:dyDescent="0.25">
      <c r="B2183" t="s">
        <v>2102</v>
      </c>
      <c r="C2183" t="s">
        <v>2103</v>
      </c>
      <c r="D2183" t="str">
        <f>HYPERLINK("https://rhld.insurance.arkansas.gov/NPILookup?Npi=1114909124","1114909124")</f>
        <v>1114909124</v>
      </c>
      <c r="E2183" t="s">
        <v>4484</v>
      </c>
      <c r="F2183" t="s">
        <v>12</v>
      </c>
      <c r="G2183" s="20">
        <v>1</v>
      </c>
      <c r="H2183" t="s">
        <v>4349</v>
      </c>
      <c r="I2183" t="s">
        <v>32</v>
      </c>
      <c r="J2183" s="9"/>
      <c r="K2183" s="9"/>
      <c r="L2183" s="9"/>
    </row>
    <row r="2184" spans="2:12" ht="15" x14ac:dyDescent="0.25">
      <c r="B2184" t="s">
        <v>2102</v>
      </c>
      <c r="C2184" t="s">
        <v>2103</v>
      </c>
      <c r="D2184" t="str">
        <f>HYPERLINK("https://rhld.insurance.arkansas.gov/NPILookup?Npi=1114919370","1114919370")</f>
        <v>1114919370</v>
      </c>
      <c r="E2184" t="s">
        <v>2272</v>
      </c>
      <c r="F2184" t="s">
        <v>12</v>
      </c>
      <c r="G2184" s="20">
        <v>1</v>
      </c>
      <c r="H2184" t="s">
        <v>4349</v>
      </c>
      <c r="I2184" t="s">
        <v>4357</v>
      </c>
      <c r="J2184" s="9"/>
      <c r="K2184" s="9"/>
      <c r="L2184" s="9"/>
    </row>
    <row r="2185" spans="2:12" ht="15" x14ac:dyDescent="0.25">
      <c r="B2185" t="s">
        <v>2102</v>
      </c>
      <c r="C2185" t="s">
        <v>2103</v>
      </c>
      <c r="D2185" t="str">
        <f>HYPERLINK("https://rhld.insurance.arkansas.gov/NPILookup?Npi=1114955085","1114955085")</f>
        <v>1114955085</v>
      </c>
      <c r="E2185" t="s">
        <v>4485</v>
      </c>
      <c r="F2185" t="s">
        <v>12</v>
      </c>
      <c r="G2185" s="20">
        <v>1</v>
      </c>
      <c r="H2185" t="s">
        <v>4349</v>
      </c>
      <c r="I2185" t="s">
        <v>32</v>
      </c>
      <c r="J2185" s="9"/>
      <c r="K2185" s="9"/>
      <c r="L2185" s="9"/>
    </row>
    <row r="2186" spans="2:12" ht="15" x14ac:dyDescent="0.25">
      <c r="B2186" t="s">
        <v>2102</v>
      </c>
      <c r="C2186" t="s">
        <v>2103</v>
      </c>
      <c r="D2186" t="str">
        <f>HYPERLINK("https://rhld.insurance.arkansas.gov/NPILookup?Npi=1114965050","1114965050")</f>
        <v>1114965050</v>
      </c>
      <c r="E2186" t="s">
        <v>2273</v>
      </c>
      <c r="F2186" t="s">
        <v>12</v>
      </c>
      <c r="G2186" s="20">
        <v>1</v>
      </c>
      <c r="H2186" t="s">
        <v>4349</v>
      </c>
      <c r="I2186" t="s">
        <v>4357</v>
      </c>
      <c r="J2186" s="9"/>
      <c r="K2186" s="9"/>
      <c r="L2186" s="9"/>
    </row>
    <row r="2187" spans="2:12" ht="15" x14ac:dyDescent="0.25">
      <c r="B2187" t="s">
        <v>2102</v>
      </c>
      <c r="C2187" t="s">
        <v>2103</v>
      </c>
      <c r="D2187" t="str">
        <f>HYPERLINK("https://rhld.insurance.arkansas.gov/NPILookup?Npi=1114984911","1114984911")</f>
        <v>1114984911</v>
      </c>
      <c r="E2187" t="s">
        <v>2274</v>
      </c>
      <c r="F2187" t="s">
        <v>12</v>
      </c>
      <c r="G2187" s="20">
        <v>1</v>
      </c>
      <c r="H2187" t="s">
        <v>4338</v>
      </c>
      <c r="I2187" t="s">
        <v>4357</v>
      </c>
      <c r="J2187" s="9"/>
      <c r="K2187" s="9"/>
      <c r="L2187" s="9"/>
    </row>
    <row r="2188" spans="2:12" ht="15" x14ac:dyDescent="0.25">
      <c r="B2188" t="s">
        <v>2102</v>
      </c>
      <c r="C2188" t="s">
        <v>2103</v>
      </c>
      <c r="D2188" t="str">
        <f>HYPERLINK("https://rhld.insurance.arkansas.gov/NPILookup?Npi=1114989530","1114989530")</f>
        <v>1114989530</v>
      </c>
      <c r="E2188" t="s">
        <v>2275</v>
      </c>
      <c r="F2188" t="s">
        <v>12</v>
      </c>
      <c r="G2188" s="20">
        <v>1</v>
      </c>
      <c r="H2188" t="s">
        <v>4338</v>
      </c>
      <c r="I2188" t="s">
        <v>32</v>
      </c>
      <c r="J2188" s="9"/>
      <c r="K2188" s="9"/>
      <c r="L2188" s="9"/>
    </row>
    <row r="2189" spans="2:12" ht="15" x14ac:dyDescent="0.25">
      <c r="B2189" t="s">
        <v>2102</v>
      </c>
      <c r="C2189" t="s">
        <v>2103</v>
      </c>
      <c r="D2189" t="str">
        <f>HYPERLINK("https://rhld.insurance.arkansas.gov/NPILookup?Npi=1124026166","1124026166")</f>
        <v>1124026166</v>
      </c>
      <c r="E2189" t="s">
        <v>4486</v>
      </c>
      <c r="F2189" t="s">
        <v>12</v>
      </c>
      <c r="G2189" s="20">
        <v>1</v>
      </c>
      <c r="H2189" t="s">
        <v>4349</v>
      </c>
      <c r="I2189" t="s">
        <v>32</v>
      </c>
      <c r="J2189" s="9"/>
      <c r="K2189" s="9"/>
      <c r="L2189" s="9"/>
    </row>
    <row r="2190" spans="2:12" ht="15" x14ac:dyDescent="0.25">
      <c r="B2190" t="s">
        <v>2102</v>
      </c>
      <c r="C2190" t="s">
        <v>2103</v>
      </c>
      <c r="D2190" t="str">
        <f>HYPERLINK("https://rhld.insurance.arkansas.gov/NPILookup?Npi=1124122700","1124122700")</f>
        <v>1124122700</v>
      </c>
      <c r="E2190" t="s">
        <v>4487</v>
      </c>
      <c r="F2190" t="s">
        <v>12</v>
      </c>
      <c r="G2190" s="20">
        <v>1</v>
      </c>
      <c r="H2190" t="s">
        <v>4349</v>
      </c>
      <c r="I2190" t="s">
        <v>32</v>
      </c>
      <c r="J2190" s="9"/>
      <c r="K2190" s="9"/>
      <c r="L2190" s="9"/>
    </row>
    <row r="2191" spans="2:12" ht="15" x14ac:dyDescent="0.25">
      <c r="B2191" t="s">
        <v>2102</v>
      </c>
      <c r="C2191" t="s">
        <v>2103</v>
      </c>
      <c r="D2191" t="str">
        <f>HYPERLINK("https://rhld.insurance.arkansas.gov/NPILookup?Npi=1124231816","1124231816")</f>
        <v>1124231816</v>
      </c>
      <c r="E2191" t="s">
        <v>434</v>
      </c>
      <c r="F2191" t="s">
        <v>12</v>
      </c>
      <c r="G2191" s="20">
        <v>1</v>
      </c>
      <c r="H2191" t="s">
        <v>4349</v>
      </c>
      <c r="I2191" t="s">
        <v>32</v>
      </c>
      <c r="J2191" s="9"/>
      <c r="K2191" s="9"/>
      <c r="L2191" s="9"/>
    </row>
    <row r="2192" spans="2:12" ht="15" x14ac:dyDescent="0.25">
      <c r="B2192" t="s">
        <v>2102</v>
      </c>
      <c r="C2192" t="s">
        <v>2103</v>
      </c>
      <c r="D2192" t="str">
        <f>HYPERLINK("https://rhld.insurance.arkansas.gov/NPILookup?Npi=1124241062","1124241062")</f>
        <v>1124241062</v>
      </c>
      <c r="E2192" t="s">
        <v>4488</v>
      </c>
      <c r="F2192" t="s">
        <v>12</v>
      </c>
      <c r="G2192" s="20">
        <v>1</v>
      </c>
      <c r="H2192" t="s">
        <v>4349</v>
      </c>
      <c r="I2192" t="s">
        <v>32</v>
      </c>
      <c r="J2192" s="9"/>
      <c r="K2192" s="9"/>
      <c r="L2192" s="9"/>
    </row>
    <row r="2193" spans="2:12" ht="15" x14ac:dyDescent="0.25">
      <c r="B2193" t="s">
        <v>2102</v>
      </c>
      <c r="C2193" t="s">
        <v>2103</v>
      </c>
      <c r="D2193" t="str">
        <f>HYPERLINK("https://rhld.insurance.arkansas.gov/NPILookup?Npi=1124342530","1124342530")</f>
        <v>1124342530</v>
      </c>
      <c r="E2193" t="s">
        <v>2276</v>
      </c>
      <c r="F2193" t="s">
        <v>13</v>
      </c>
      <c r="G2193" s="20">
        <v>1</v>
      </c>
      <c r="H2193" t="s">
        <v>4357</v>
      </c>
      <c r="I2193" t="s">
        <v>4357</v>
      </c>
      <c r="J2193" s="9"/>
      <c r="K2193" s="9"/>
      <c r="L2193" s="9"/>
    </row>
    <row r="2194" spans="2:12" ht="15" x14ac:dyDescent="0.25">
      <c r="B2194" t="s">
        <v>2102</v>
      </c>
      <c r="C2194" t="s">
        <v>2103</v>
      </c>
      <c r="D2194" t="str">
        <f>HYPERLINK("https://rhld.insurance.arkansas.gov/NPILookup?Npi=1124387675","1124387675")</f>
        <v>1124387675</v>
      </c>
      <c r="E2194" t="s">
        <v>1396</v>
      </c>
      <c r="F2194" t="s">
        <v>12</v>
      </c>
      <c r="G2194" s="20">
        <v>1</v>
      </c>
      <c r="H2194" t="s">
        <v>4349</v>
      </c>
      <c r="I2194" t="s">
        <v>4357</v>
      </c>
      <c r="J2194" s="9"/>
      <c r="K2194" s="9"/>
      <c r="L2194" s="9"/>
    </row>
    <row r="2195" spans="2:12" ht="15" x14ac:dyDescent="0.25">
      <c r="B2195" t="s">
        <v>2102</v>
      </c>
      <c r="C2195" t="s">
        <v>2103</v>
      </c>
      <c r="D2195" t="str">
        <f>HYPERLINK("https://rhld.insurance.arkansas.gov/NPILookup?Npi=1124404066","1124404066")</f>
        <v>1124404066</v>
      </c>
      <c r="E2195" t="s">
        <v>2277</v>
      </c>
      <c r="F2195" t="s">
        <v>12</v>
      </c>
      <c r="G2195" s="20">
        <v>1</v>
      </c>
      <c r="H2195" t="s">
        <v>4349</v>
      </c>
      <c r="I2195" t="s">
        <v>4357</v>
      </c>
      <c r="J2195" s="9"/>
      <c r="K2195" s="9"/>
      <c r="L2195" s="9"/>
    </row>
    <row r="2196" spans="2:12" ht="15" x14ac:dyDescent="0.25">
      <c r="B2196" t="s">
        <v>2102</v>
      </c>
      <c r="C2196" t="s">
        <v>2103</v>
      </c>
      <c r="D2196" t="str">
        <f>HYPERLINK("https://rhld.insurance.arkansas.gov/NPILookup?Npi=1124505730","1124505730")</f>
        <v>1124505730</v>
      </c>
      <c r="E2196" t="s">
        <v>92</v>
      </c>
      <c r="F2196" t="s">
        <v>12</v>
      </c>
      <c r="G2196" s="20">
        <v>1</v>
      </c>
      <c r="H2196" t="s">
        <v>4349</v>
      </c>
      <c r="I2196" t="s">
        <v>32</v>
      </c>
      <c r="J2196" s="9"/>
      <c r="K2196" s="9"/>
      <c r="L2196" s="9"/>
    </row>
    <row r="2197" spans="2:12" ht="15" x14ac:dyDescent="0.25">
      <c r="B2197" t="s">
        <v>2102</v>
      </c>
      <c r="C2197" t="s">
        <v>2103</v>
      </c>
      <c r="D2197" t="str">
        <f>HYPERLINK("https://rhld.insurance.arkansas.gov/NPILookup?Npi=1124509997","1124509997")</f>
        <v>1124509997</v>
      </c>
      <c r="E2197" t="s">
        <v>2279</v>
      </c>
      <c r="F2197" t="s">
        <v>12</v>
      </c>
      <c r="G2197" s="20">
        <v>1</v>
      </c>
      <c r="H2197" t="s">
        <v>4349</v>
      </c>
      <c r="I2197" t="s">
        <v>32</v>
      </c>
      <c r="J2197" s="9"/>
      <c r="K2197" s="9"/>
      <c r="L2197" s="9"/>
    </row>
    <row r="2198" spans="2:12" ht="15" x14ac:dyDescent="0.25">
      <c r="B2198" t="s">
        <v>2102</v>
      </c>
      <c r="C2198" t="s">
        <v>2103</v>
      </c>
      <c r="D2198" t="str">
        <f>HYPERLINK("https://rhld.insurance.arkansas.gov/NPILookup?Npi=1124567607","1124567607")</f>
        <v>1124567607</v>
      </c>
      <c r="E2198" t="s">
        <v>2280</v>
      </c>
      <c r="F2198" t="s">
        <v>13</v>
      </c>
      <c r="G2198" s="20">
        <v>1</v>
      </c>
      <c r="H2198" t="s">
        <v>4357</v>
      </c>
      <c r="I2198" t="s">
        <v>4357</v>
      </c>
      <c r="J2198" s="9"/>
      <c r="K2198" s="9"/>
      <c r="L2198" s="9"/>
    </row>
    <row r="2199" spans="2:12" ht="15" x14ac:dyDescent="0.25">
      <c r="B2199" t="s">
        <v>2102</v>
      </c>
      <c r="C2199" t="s">
        <v>2103</v>
      </c>
      <c r="D2199" t="str">
        <f>HYPERLINK("https://rhld.insurance.arkansas.gov/NPILookup?Npi=1124632310","1124632310")</f>
        <v>1124632310</v>
      </c>
      <c r="E2199" t="s">
        <v>2282</v>
      </c>
      <c r="F2199" t="s">
        <v>13</v>
      </c>
      <c r="G2199" s="20">
        <v>1</v>
      </c>
      <c r="H2199" t="s">
        <v>4357</v>
      </c>
      <c r="I2199" t="s">
        <v>4357</v>
      </c>
      <c r="J2199" s="9"/>
      <c r="K2199" s="9"/>
      <c r="L2199" s="9"/>
    </row>
    <row r="2200" spans="2:12" ht="15" x14ac:dyDescent="0.25">
      <c r="B2200" t="s">
        <v>2102</v>
      </c>
      <c r="C2200" t="s">
        <v>2103</v>
      </c>
      <c r="D2200" t="str">
        <f>HYPERLINK("https://rhld.insurance.arkansas.gov/NPILookup?Npi=1124746102","1124746102")</f>
        <v>1124746102</v>
      </c>
      <c r="E2200" t="s">
        <v>2283</v>
      </c>
      <c r="F2200" t="s">
        <v>13</v>
      </c>
      <c r="G2200" s="20">
        <v>1</v>
      </c>
      <c r="H2200" t="s">
        <v>4357</v>
      </c>
      <c r="I2200" t="s">
        <v>32</v>
      </c>
      <c r="J2200" s="9"/>
      <c r="K2200" s="9"/>
      <c r="L2200" s="9"/>
    </row>
    <row r="2201" spans="2:12" ht="15" x14ac:dyDescent="0.25">
      <c r="B2201" t="s">
        <v>2102</v>
      </c>
      <c r="C2201" t="s">
        <v>2103</v>
      </c>
      <c r="D2201" t="str">
        <f>HYPERLINK("https://rhld.insurance.arkansas.gov/NPILookup?Npi=1134156250","1134156250")</f>
        <v>1134156250</v>
      </c>
      <c r="E2201" t="s">
        <v>2284</v>
      </c>
      <c r="F2201" t="s">
        <v>12</v>
      </c>
      <c r="G2201" s="20">
        <v>1</v>
      </c>
      <c r="H2201" t="s">
        <v>4338</v>
      </c>
      <c r="I2201" t="s">
        <v>4357</v>
      </c>
      <c r="J2201" s="9"/>
      <c r="K2201" s="9"/>
      <c r="L2201" s="9"/>
    </row>
    <row r="2202" spans="2:12" ht="15" x14ac:dyDescent="0.25">
      <c r="B2202" t="s">
        <v>2102</v>
      </c>
      <c r="C2202" t="s">
        <v>2103</v>
      </c>
      <c r="D2202" t="str">
        <f>HYPERLINK("https://rhld.insurance.arkansas.gov/NPILookup?Npi=1134173024","1134173024")</f>
        <v>1134173024</v>
      </c>
      <c r="E2202" t="s">
        <v>1397</v>
      </c>
      <c r="F2202" t="s">
        <v>12</v>
      </c>
      <c r="G2202" s="20">
        <v>1</v>
      </c>
      <c r="H2202" t="s">
        <v>4349</v>
      </c>
      <c r="I2202" t="s">
        <v>4357</v>
      </c>
      <c r="J2202" s="9"/>
      <c r="K2202" s="9"/>
      <c r="L2202" s="9"/>
    </row>
    <row r="2203" spans="2:12" ht="15" x14ac:dyDescent="0.25">
      <c r="B2203" t="s">
        <v>2102</v>
      </c>
      <c r="C2203" t="s">
        <v>2103</v>
      </c>
      <c r="D2203" t="str">
        <f>HYPERLINK("https://rhld.insurance.arkansas.gov/NPILookup?Npi=1134184633","1134184633")</f>
        <v>1134184633</v>
      </c>
      <c r="E2203" t="s">
        <v>4489</v>
      </c>
      <c r="F2203" t="s">
        <v>12</v>
      </c>
      <c r="G2203" s="20">
        <v>1</v>
      </c>
      <c r="H2203" t="s">
        <v>4349</v>
      </c>
      <c r="I2203" t="s">
        <v>32</v>
      </c>
      <c r="J2203" s="9"/>
      <c r="K2203" s="9"/>
      <c r="L2203" s="9"/>
    </row>
    <row r="2204" spans="2:12" ht="15" x14ac:dyDescent="0.25">
      <c r="B2204" t="s">
        <v>2102</v>
      </c>
      <c r="C2204" t="s">
        <v>2103</v>
      </c>
      <c r="D2204" t="str">
        <f>HYPERLINK("https://rhld.insurance.arkansas.gov/NPILookup?Npi=1134418437","1134418437")</f>
        <v>1134418437</v>
      </c>
      <c r="E2204" t="s">
        <v>2285</v>
      </c>
      <c r="F2204" t="s">
        <v>12</v>
      </c>
      <c r="G2204" s="20">
        <v>1</v>
      </c>
      <c r="H2204" t="s">
        <v>4349</v>
      </c>
      <c r="I2204" t="s">
        <v>4357</v>
      </c>
      <c r="J2204" s="9"/>
      <c r="K2204" s="9"/>
      <c r="L2204" s="9"/>
    </row>
    <row r="2205" spans="2:12" ht="15" x14ac:dyDescent="0.25">
      <c r="B2205" t="s">
        <v>2102</v>
      </c>
      <c r="C2205" t="s">
        <v>2103</v>
      </c>
      <c r="D2205" t="str">
        <f>HYPERLINK("https://rhld.insurance.arkansas.gov/NPILookup?Npi=1134531106","1134531106")</f>
        <v>1134531106</v>
      </c>
      <c r="E2205" t="s">
        <v>2286</v>
      </c>
      <c r="F2205" t="s">
        <v>12</v>
      </c>
      <c r="G2205" s="20">
        <v>1</v>
      </c>
      <c r="H2205" t="s">
        <v>4349</v>
      </c>
      <c r="I2205" t="s">
        <v>4357</v>
      </c>
      <c r="J2205" s="9"/>
      <c r="K2205" s="9"/>
      <c r="L2205" s="9"/>
    </row>
    <row r="2206" spans="2:12" ht="15" x14ac:dyDescent="0.25">
      <c r="B2206" t="s">
        <v>2102</v>
      </c>
      <c r="C2206" t="s">
        <v>2103</v>
      </c>
      <c r="D2206" t="str">
        <f>HYPERLINK("https://rhld.insurance.arkansas.gov/NPILookup?Npi=1134564891","1134564891")</f>
        <v>1134564891</v>
      </c>
      <c r="E2206" t="s">
        <v>4490</v>
      </c>
      <c r="F2206" t="s">
        <v>12</v>
      </c>
      <c r="G2206" s="20">
        <v>1</v>
      </c>
      <c r="H2206" t="s">
        <v>4349</v>
      </c>
      <c r="I2206" t="s">
        <v>32</v>
      </c>
      <c r="J2206" s="9"/>
      <c r="K2206" s="9"/>
      <c r="L2206" s="9"/>
    </row>
    <row r="2207" spans="2:12" ht="15" x14ac:dyDescent="0.25">
      <c r="B2207" t="s">
        <v>2102</v>
      </c>
      <c r="C2207" t="s">
        <v>2103</v>
      </c>
      <c r="D2207" t="str">
        <f>HYPERLINK("https://rhld.insurance.arkansas.gov/NPILookup?Npi=1134718968","1134718968")</f>
        <v>1134718968</v>
      </c>
      <c r="E2207" t="s">
        <v>2287</v>
      </c>
      <c r="F2207" t="s">
        <v>12</v>
      </c>
      <c r="G2207" s="20">
        <v>1</v>
      </c>
      <c r="H2207" t="s">
        <v>4338</v>
      </c>
      <c r="I2207" t="s">
        <v>32</v>
      </c>
      <c r="J2207" s="9"/>
      <c r="K2207" s="9"/>
      <c r="L2207" s="9"/>
    </row>
    <row r="2208" spans="2:12" ht="15" x14ac:dyDescent="0.25">
      <c r="B2208" t="s">
        <v>2102</v>
      </c>
      <c r="C2208" t="s">
        <v>2103</v>
      </c>
      <c r="D2208" t="str">
        <f>HYPERLINK("https://rhld.insurance.arkansas.gov/NPILookup?Npi=1134852817","1134852817")</f>
        <v>1134852817</v>
      </c>
      <c r="E2208" t="s">
        <v>1569</v>
      </c>
      <c r="F2208" t="s">
        <v>12</v>
      </c>
      <c r="G2208" s="20">
        <v>1</v>
      </c>
      <c r="H2208" t="s">
        <v>4338</v>
      </c>
      <c r="I2208" t="s">
        <v>32</v>
      </c>
      <c r="J2208" s="9"/>
      <c r="K2208" s="9"/>
      <c r="L2208" s="9"/>
    </row>
    <row r="2209" spans="2:12" ht="15" x14ac:dyDescent="0.25">
      <c r="B2209" t="s">
        <v>2102</v>
      </c>
      <c r="C2209" t="s">
        <v>2103</v>
      </c>
      <c r="D2209" t="str">
        <f>HYPERLINK("https://rhld.insurance.arkansas.gov/NPILookup?Npi=1134907637","1134907637")</f>
        <v>1134907637</v>
      </c>
      <c r="E2209" t="s">
        <v>2288</v>
      </c>
      <c r="F2209" t="s">
        <v>13</v>
      </c>
      <c r="G2209" s="20">
        <v>1</v>
      </c>
      <c r="H2209" t="s">
        <v>4357</v>
      </c>
      <c r="I2209" t="s">
        <v>4357</v>
      </c>
      <c r="J2209" s="9"/>
      <c r="K2209" s="9"/>
      <c r="L2209" s="9"/>
    </row>
    <row r="2210" spans="2:12" ht="15" x14ac:dyDescent="0.25">
      <c r="B2210" t="s">
        <v>2102</v>
      </c>
      <c r="C2210" t="s">
        <v>2103</v>
      </c>
      <c r="D2210" t="str">
        <f>HYPERLINK("https://rhld.insurance.arkansas.gov/NPILookup?Npi=1144205253","1144205253")</f>
        <v>1144205253</v>
      </c>
      <c r="E2210" t="s">
        <v>2289</v>
      </c>
      <c r="F2210" t="s">
        <v>12</v>
      </c>
      <c r="G2210" s="20">
        <v>1</v>
      </c>
      <c r="H2210" t="s">
        <v>4349</v>
      </c>
      <c r="I2210" t="s">
        <v>4357</v>
      </c>
      <c r="J2210" s="9"/>
      <c r="K2210" s="9"/>
      <c r="L2210" s="9"/>
    </row>
    <row r="2211" spans="2:12" ht="15" x14ac:dyDescent="0.25">
      <c r="B2211" t="s">
        <v>2102</v>
      </c>
      <c r="C2211" t="s">
        <v>2103</v>
      </c>
      <c r="D2211" t="str">
        <f>HYPERLINK("https://rhld.insurance.arkansas.gov/NPILookup?Npi=1144269978","1144269978")</f>
        <v>1144269978</v>
      </c>
      <c r="E2211" t="s">
        <v>4491</v>
      </c>
      <c r="F2211" t="s">
        <v>12</v>
      </c>
      <c r="G2211" s="20">
        <v>1</v>
      </c>
      <c r="H2211" t="s">
        <v>4349</v>
      </c>
      <c r="I2211" t="s">
        <v>32</v>
      </c>
      <c r="J2211" s="9"/>
      <c r="K2211" s="9"/>
      <c r="L2211" s="9"/>
    </row>
    <row r="2212" spans="2:12" ht="15" x14ac:dyDescent="0.25">
      <c r="B2212" t="s">
        <v>2102</v>
      </c>
      <c r="C2212" t="s">
        <v>2103</v>
      </c>
      <c r="D2212" t="str">
        <f>HYPERLINK("https://rhld.insurance.arkansas.gov/NPILookup?Npi=1144431883","1144431883")</f>
        <v>1144431883</v>
      </c>
      <c r="E2212" t="s">
        <v>2290</v>
      </c>
      <c r="F2212" t="s">
        <v>12</v>
      </c>
      <c r="G2212" s="20">
        <v>1</v>
      </c>
      <c r="H2212" t="s">
        <v>139</v>
      </c>
      <c r="I2212" t="s">
        <v>32</v>
      </c>
      <c r="J2212" s="9"/>
      <c r="K2212" s="9"/>
      <c r="L2212" s="9"/>
    </row>
    <row r="2213" spans="2:12" ht="15" x14ac:dyDescent="0.25">
      <c r="B2213" t="s">
        <v>2102</v>
      </c>
      <c r="C2213" t="s">
        <v>2103</v>
      </c>
      <c r="D2213" t="str">
        <f>HYPERLINK("https://rhld.insurance.arkansas.gov/NPILookup?Npi=1144459686","1144459686")</f>
        <v>1144459686</v>
      </c>
      <c r="E2213" t="s">
        <v>4492</v>
      </c>
      <c r="F2213" t="s">
        <v>12</v>
      </c>
      <c r="G2213" s="20">
        <v>1</v>
      </c>
      <c r="H2213" t="s">
        <v>4349</v>
      </c>
      <c r="I2213" t="s">
        <v>32</v>
      </c>
      <c r="J2213" s="9"/>
      <c r="K2213" s="9"/>
      <c r="L2213" s="9"/>
    </row>
    <row r="2214" spans="2:12" ht="15" x14ac:dyDescent="0.25">
      <c r="B2214" t="s">
        <v>2102</v>
      </c>
      <c r="C2214" t="s">
        <v>2103</v>
      </c>
      <c r="D2214" t="str">
        <f>HYPERLINK("https://rhld.insurance.arkansas.gov/NPILookup?Npi=1144607268","1144607268")</f>
        <v>1144607268</v>
      </c>
      <c r="E2214" t="s">
        <v>2292</v>
      </c>
      <c r="F2214" t="s">
        <v>13</v>
      </c>
      <c r="G2214" s="20">
        <v>1</v>
      </c>
      <c r="H2214" t="s">
        <v>87</v>
      </c>
      <c r="I2214" t="s">
        <v>32</v>
      </c>
      <c r="J2214" s="9"/>
      <c r="K2214" s="9"/>
      <c r="L2214" s="9"/>
    </row>
    <row r="2215" spans="2:12" ht="15" x14ac:dyDescent="0.25">
      <c r="B2215" t="s">
        <v>2102</v>
      </c>
      <c r="C2215" t="s">
        <v>2103</v>
      </c>
      <c r="D2215" t="str">
        <f>HYPERLINK("https://rhld.insurance.arkansas.gov/NPILookup?Npi=1144615170","1144615170")</f>
        <v>1144615170</v>
      </c>
      <c r="E2215" t="s">
        <v>2293</v>
      </c>
      <c r="F2215" t="s">
        <v>12</v>
      </c>
      <c r="G2215" s="20">
        <v>1</v>
      </c>
      <c r="H2215" t="s">
        <v>4338</v>
      </c>
      <c r="I2215" t="s">
        <v>32</v>
      </c>
      <c r="J2215" s="9"/>
      <c r="K2215" s="9"/>
      <c r="L2215" s="9"/>
    </row>
    <row r="2216" spans="2:12" ht="15" x14ac:dyDescent="0.25">
      <c r="B2216" t="s">
        <v>2102</v>
      </c>
      <c r="C2216" t="s">
        <v>2103</v>
      </c>
      <c r="D2216" t="str">
        <f>HYPERLINK("https://rhld.insurance.arkansas.gov/NPILookup?Npi=1144664491","1144664491")</f>
        <v>1144664491</v>
      </c>
      <c r="E2216" t="s">
        <v>4493</v>
      </c>
      <c r="F2216" t="s">
        <v>12</v>
      </c>
      <c r="G2216" s="20">
        <v>1</v>
      </c>
      <c r="H2216" t="s">
        <v>4349</v>
      </c>
      <c r="I2216" t="s">
        <v>32</v>
      </c>
      <c r="J2216" s="9"/>
      <c r="K2216" s="9"/>
      <c r="L2216" s="9"/>
    </row>
    <row r="2217" spans="2:12" ht="15" x14ac:dyDescent="0.25">
      <c r="B2217" t="s">
        <v>2102</v>
      </c>
      <c r="C2217" t="s">
        <v>2103</v>
      </c>
      <c r="D2217" t="str">
        <f>HYPERLINK("https://rhld.insurance.arkansas.gov/NPILookup?Npi=1144753203","1144753203")</f>
        <v>1144753203</v>
      </c>
      <c r="E2217" t="s">
        <v>2295</v>
      </c>
      <c r="F2217" t="s">
        <v>12</v>
      </c>
      <c r="G2217" s="20">
        <v>1</v>
      </c>
      <c r="H2217" t="s">
        <v>4349</v>
      </c>
      <c r="I2217" t="s">
        <v>32</v>
      </c>
      <c r="J2217" s="9"/>
      <c r="K2217" s="9"/>
      <c r="L2217" s="9"/>
    </row>
    <row r="2218" spans="2:12" ht="15" x14ac:dyDescent="0.25">
      <c r="B2218" t="s">
        <v>2102</v>
      </c>
      <c r="C2218" t="s">
        <v>2103</v>
      </c>
      <c r="D2218" t="str">
        <f>HYPERLINK("https://rhld.insurance.arkansas.gov/NPILookup?Npi=1144857996","1144857996")</f>
        <v>1144857996</v>
      </c>
      <c r="E2218" t="s">
        <v>2296</v>
      </c>
      <c r="F2218" t="s">
        <v>12</v>
      </c>
      <c r="G2218" s="20">
        <v>1</v>
      </c>
      <c r="H2218" t="s">
        <v>4338</v>
      </c>
      <c r="I2218" t="s">
        <v>32</v>
      </c>
      <c r="J2218" s="9"/>
      <c r="K2218" s="9"/>
      <c r="L2218" s="9"/>
    </row>
    <row r="2219" spans="2:12" ht="15" x14ac:dyDescent="0.25">
      <c r="B2219" t="s">
        <v>2102</v>
      </c>
      <c r="C2219" t="s">
        <v>2103</v>
      </c>
      <c r="D2219" t="str">
        <f>HYPERLINK("https://rhld.insurance.arkansas.gov/NPILookup?Npi=1144901125","1144901125")</f>
        <v>1144901125</v>
      </c>
      <c r="E2219" t="s">
        <v>2297</v>
      </c>
      <c r="F2219" t="s">
        <v>13</v>
      </c>
      <c r="G2219" s="20">
        <v>2</v>
      </c>
      <c r="H2219" t="s">
        <v>439</v>
      </c>
      <c r="I2219" t="s">
        <v>4357</v>
      </c>
      <c r="J2219" s="9"/>
      <c r="K2219" s="9"/>
      <c r="L2219" s="9"/>
    </row>
    <row r="2220" spans="2:12" ht="15" x14ac:dyDescent="0.25">
      <c r="B2220" t="s">
        <v>2102</v>
      </c>
      <c r="C2220" t="s">
        <v>2103</v>
      </c>
      <c r="D2220" t="str">
        <f>HYPERLINK("https://rhld.insurance.arkansas.gov/NPILookup?Npi=1154043941","1154043941")</f>
        <v>1154043941</v>
      </c>
      <c r="E2220" t="s">
        <v>2298</v>
      </c>
      <c r="F2220" t="s">
        <v>12</v>
      </c>
      <c r="G2220" s="20">
        <v>1</v>
      </c>
      <c r="H2220" t="s">
        <v>4338</v>
      </c>
      <c r="I2220" t="s">
        <v>32</v>
      </c>
      <c r="J2220" s="9"/>
      <c r="K2220" s="9"/>
      <c r="L2220" s="9"/>
    </row>
    <row r="2221" spans="2:12" ht="15" x14ac:dyDescent="0.25">
      <c r="B2221" t="s">
        <v>2102</v>
      </c>
      <c r="C2221" t="s">
        <v>2103</v>
      </c>
      <c r="D2221" t="str">
        <f>HYPERLINK("https://rhld.insurance.arkansas.gov/NPILookup?Npi=1154158699","1154158699")</f>
        <v>1154158699</v>
      </c>
      <c r="E2221" t="s">
        <v>1576</v>
      </c>
      <c r="F2221" t="s">
        <v>13</v>
      </c>
      <c r="G2221" s="20">
        <v>1</v>
      </c>
      <c r="H2221" t="s">
        <v>4357</v>
      </c>
      <c r="I2221" t="s">
        <v>4357</v>
      </c>
      <c r="J2221" s="9"/>
      <c r="K2221" s="9"/>
      <c r="L2221" s="9"/>
    </row>
    <row r="2222" spans="2:12" ht="15" x14ac:dyDescent="0.25">
      <c r="B2222" t="s">
        <v>2102</v>
      </c>
      <c r="C2222" t="s">
        <v>2103</v>
      </c>
      <c r="D2222" t="str">
        <f>HYPERLINK("https://rhld.insurance.arkansas.gov/NPILookup?Npi=1154359099","1154359099")</f>
        <v>1154359099</v>
      </c>
      <c r="E2222" t="s">
        <v>4494</v>
      </c>
      <c r="F2222" t="s">
        <v>12</v>
      </c>
      <c r="G2222" s="20">
        <v>1</v>
      </c>
      <c r="H2222" t="s">
        <v>4349</v>
      </c>
      <c r="I2222" t="s">
        <v>32</v>
      </c>
      <c r="J2222" s="9"/>
      <c r="K2222" s="9"/>
      <c r="L2222" s="9"/>
    </row>
    <row r="2223" spans="2:12" ht="15" x14ac:dyDescent="0.25">
      <c r="B2223" t="s">
        <v>2102</v>
      </c>
      <c r="C2223" t="s">
        <v>2103</v>
      </c>
      <c r="D2223" t="str">
        <f>HYPERLINK("https://rhld.insurance.arkansas.gov/NPILookup?Npi=1154362267","1154362267")</f>
        <v>1154362267</v>
      </c>
      <c r="E2223" t="s">
        <v>2299</v>
      </c>
      <c r="F2223" t="s">
        <v>12</v>
      </c>
      <c r="G2223" s="20">
        <v>1</v>
      </c>
      <c r="H2223" t="s">
        <v>4338</v>
      </c>
      <c r="I2223" t="s">
        <v>32</v>
      </c>
      <c r="J2223" s="9"/>
      <c r="K2223" s="9"/>
      <c r="L2223" s="9"/>
    </row>
    <row r="2224" spans="2:12" ht="15" x14ac:dyDescent="0.25">
      <c r="B2224" t="s">
        <v>2102</v>
      </c>
      <c r="C2224" t="s">
        <v>2103</v>
      </c>
      <c r="D2224" t="str">
        <f>HYPERLINK("https://rhld.insurance.arkansas.gov/NPILookup?Npi=1154367332","1154367332")</f>
        <v>1154367332</v>
      </c>
      <c r="E2224" t="s">
        <v>4495</v>
      </c>
      <c r="F2224" t="s">
        <v>12</v>
      </c>
      <c r="G2224" s="20">
        <v>1</v>
      </c>
      <c r="H2224" t="s">
        <v>4349</v>
      </c>
      <c r="I2224" t="s">
        <v>32</v>
      </c>
      <c r="J2224" s="9"/>
      <c r="K2224" s="9"/>
      <c r="L2224" s="9"/>
    </row>
    <row r="2225" spans="2:12" ht="15" x14ac:dyDescent="0.25">
      <c r="B2225" t="s">
        <v>2102</v>
      </c>
      <c r="C2225" t="s">
        <v>2103</v>
      </c>
      <c r="D2225" t="str">
        <f>HYPERLINK("https://rhld.insurance.arkansas.gov/NPILookup?Npi=1154389419","1154389419")</f>
        <v>1154389419</v>
      </c>
      <c r="E2225" t="s">
        <v>2300</v>
      </c>
      <c r="F2225" t="s">
        <v>13</v>
      </c>
      <c r="G2225" s="20">
        <v>1</v>
      </c>
      <c r="H2225" t="s">
        <v>87</v>
      </c>
      <c r="I2225" t="s">
        <v>4357</v>
      </c>
      <c r="J2225" s="9"/>
      <c r="K2225" s="9"/>
      <c r="L2225" s="9"/>
    </row>
    <row r="2226" spans="2:12" ht="15" x14ac:dyDescent="0.25">
      <c r="B2226" t="s">
        <v>2102</v>
      </c>
      <c r="C2226" t="s">
        <v>2103</v>
      </c>
      <c r="D2226" t="str">
        <f>HYPERLINK("https://rhld.insurance.arkansas.gov/NPILookup?Npi=1154411635","1154411635")</f>
        <v>1154411635</v>
      </c>
      <c r="E2226" t="s">
        <v>2301</v>
      </c>
      <c r="F2226" t="s">
        <v>12</v>
      </c>
      <c r="G2226" s="20">
        <v>1</v>
      </c>
      <c r="H2226" t="s">
        <v>4349</v>
      </c>
      <c r="I2226" t="s">
        <v>32</v>
      </c>
      <c r="J2226" s="9"/>
      <c r="K2226" s="9"/>
      <c r="L2226" s="9"/>
    </row>
    <row r="2227" spans="2:12" ht="15" x14ac:dyDescent="0.25">
      <c r="B2227" t="s">
        <v>2102</v>
      </c>
      <c r="C2227" t="s">
        <v>2103</v>
      </c>
      <c r="D2227" t="str">
        <f>HYPERLINK("https://rhld.insurance.arkansas.gov/NPILookup?Npi=1154529717","1154529717")</f>
        <v>1154529717</v>
      </c>
      <c r="E2227" t="s">
        <v>2302</v>
      </c>
      <c r="F2227" t="s">
        <v>12</v>
      </c>
      <c r="G2227" s="20">
        <v>1</v>
      </c>
      <c r="H2227" t="s">
        <v>4338</v>
      </c>
      <c r="I2227" t="s">
        <v>32</v>
      </c>
      <c r="J2227" s="9"/>
      <c r="K2227" s="9"/>
      <c r="L2227" s="9"/>
    </row>
    <row r="2228" spans="2:12" ht="15" x14ac:dyDescent="0.25">
      <c r="B2228" t="s">
        <v>2102</v>
      </c>
      <c r="C2228" t="s">
        <v>2103</v>
      </c>
      <c r="D2228" t="str">
        <f>HYPERLINK("https://rhld.insurance.arkansas.gov/NPILookup?Npi=1154539807","1154539807")</f>
        <v>1154539807</v>
      </c>
      <c r="E2228" t="s">
        <v>4496</v>
      </c>
      <c r="F2228" t="s">
        <v>12</v>
      </c>
      <c r="G2228" s="20">
        <v>1</v>
      </c>
      <c r="H2228" t="s">
        <v>4349</v>
      </c>
      <c r="I2228" t="s">
        <v>32</v>
      </c>
      <c r="J2228" s="9"/>
      <c r="K2228" s="9"/>
      <c r="L2228" s="9"/>
    </row>
    <row r="2229" spans="2:12" ht="15" x14ac:dyDescent="0.25">
      <c r="B2229" t="s">
        <v>2102</v>
      </c>
      <c r="C2229" t="s">
        <v>2103</v>
      </c>
      <c r="D2229" t="str">
        <f>HYPERLINK("https://rhld.insurance.arkansas.gov/NPILookup?Npi=1154586881","1154586881")</f>
        <v>1154586881</v>
      </c>
      <c r="E2229" t="s">
        <v>2303</v>
      </c>
      <c r="F2229" t="s">
        <v>12</v>
      </c>
      <c r="G2229" s="20">
        <v>1</v>
      </c>
      <c r="H2229" t="s">
        <v>4349</v>
      </c>
      <c r="I2229" t="s">
        <v>4357</v>
      </c>
      <c r="J2229" s="9"/>
      <c r="K2229" s="9"/>
      <c r="L2229" s="9"/>
    </row>
    <row r="2230" spans="2:12" ht="15" x14ac:dyDescent="0.25">
      <c r="B2230" t="s">
        <v>2102</v>
      </c>
      <c r="C2230" t="s">
        <v>2103</v>
      </c>
      <c r="D2230" t="str">
        <f>HYPERLINK("https://rhld.insurance.arkansas.gov/NPILookup?Npi=1154763449","1154763449")</f>
        <v>1154763449</v>
      </c>
      <c r="E2230" t="s">
        <v>2306</v>
      </c>
      <c r="F2230" t="s">
        <v>12</v>
      </c>
      <c r="G2230" s="20">
        <v>1</v>
      </c>
      <c r="H2230" t="s">
        <v>139</v>
      </c>
      <c r="I2230" t="s">
        <v>32</v>
      </c>
      <c r="J2230" s="9"/>
      <c r="K2230" s="9"/>
      <c r="L2230" s="9"/>
    </row>
    <row r="2231" spans="2:12" ht="15" x14ac:dyDescent="0.25">
      <c r="B2231" t="s">
        <v>2102</v>
      </c>
      <c r="C2231" t="s">
        <v>2103</v>
      </c>
      <c r="D2231" t="str">
        <f>HYPERLINK("https://rhld.insurance.arkansas.gov/NPILookup?Npi=1154773729","1154773729")</f>
        <v>1154773729</v>
      </c>
      <c r="E2231" t="s">
        <v>2307</v>
      </c>
      <c r="F2231" t="s">
        <v>12</v>
      </c>
      <c r="G2231" s="20">
        <v>1</v>
      </c>
      <c r="H2231" t="s">
        <v>4338</v>
      </c>
      <c r="I2231" t="s">
        <v>32</v>
      </c>
      <c r="J2231" s="9"/>
      <c r="K2231" s="9"/>
      <c r="L2231" s="9"/>
    </row>
    <row r="2232" spans="2:12" ht="15" x14ac:dyDescent="0.25">
      <c r="B2232" t="s">
        <v>2102</v>
      </c>
      <c r="C2232" t="s">
        <v>2103</v>
      </c>
      <c r="D2232" t="str">
        <f>HYPERLINK("https://rhld.insurance.arkansas.gov/NPILookup?Npi=1154816858","1154816858")</f>
        <v>1154816858</v>
      </c>
      <c r="E2232" t="s">
        <v>2308</v>
      </c>
      <c r="F2232" t="s">
        <v>12</v>
      </c>
      <c r="G2232" s="20">
        <v>1</v>
      </c>
      <c r="H2232" t="s">
        <v>4349</v>
      </c>
      <c r="I2232" t="s">
        <v>4357</v>
      </c>
      <c r="J2232" s="9"/>
      <c r="K2232" s="9"/>
      <c r="L2232" s="9"/>
    </row>
    <row r="2233" spans="2:12" ht="15" x14ac:dyDescent="0.25">
      <c r="B2233" t="s">
        <v>2102</v>
      </c>
      <c r="C2233" t="s">
        <v>2103</v>
      </c>
      <c r="D2233" t="str">
        <f>HYPERLINK("https://rhld.insurance.arkansas.gov/NPILookup?Npi=1154959211","1154959211")</f>
        <v>1154959211</v>
      </c>
      <c r="E2233" t="s">
        <v>2309</v>
      </c>
      <c r="F2233" t="s">
        <v>12</v>
      </c>
      <c r="G2233" s="20">
        <v>1</v>
      </c>
      <c r="H2233" t="s">
        <v>4338</v>
      </c>
      <c r="I2233" t="s">
        <v>32</v>
      </c>
      <c r="J2233" s="9"/>
      <c r="K2233" s="9"/>
      <c r="L2233" s="9"/>
    </row>
    <row r="2234" spans="2:12" ht="15" x14ac:dyDescent="0.25">
      <c r="B2234" t="s">
        <v>2102</v>
      </c>
      <c r="C2234" t="s">
        <v>2103</v>
      </c>
      <c r="D2234" t="str">
        <f>HYPERLINK("https://rhld.insurance.arkansas.gov/NPILookup?Npi=1164059507","1164059507")</f>
        <v>1164059507</v>
      </c>
      <c r="E2234" t="s">
        <v>2310</v>
      </c>
      <c r="F2234" t="s">
        <v>12</v>
      </c>
      <c r="G2234" s="20">
        <v>1</v>
      </c>
      <c r="H2234" t="s">
        <v>4349</v>
      </c>
      <c r="I2234" t="s">
        <v>32</v>
      </c>
      <c r="J2234" s="9"/>
      <c r="K2234" s="9"/>
      <c r="L2234" s="9"/>
    </row>
    <row r="2235" spans="2:12" ht="15" x14ac:dyDescent="0.25">
      <c r="B2235" t="s">
        <v>2102</v>
      </c>
      <c r="C2235" t="s">
        <v>2103</v>
      </c>
      <c r="D2235" t="str">
        <f>HYPERLINK("https://rhld.insurance.arkansas.gov/NPILookup?Npi=1164164257","1164164257")</f>
        <v>1164164257</v>
      </c>
      <c r="E2235" t="s">
        <v>2311</v>
      </c>
      <c r="F2235" t="s">
        <v>13</v>
      </c>
      <c r="G2235" s="20">
        <v>1</v>
      </c>
      <c r="H2235" t="s">
        <v>4357</v>
      </c>
      <c r="I2235" t="s">
        <v>4357</v>
      </c>
      <c r="J2235" s="9"/>
      <c r="K2235" s="9"/>
      <c r="L2235" s="9"/>
    </row>
    <row r="2236" spans="2:12" ht="15" x14ac:dyDescent="0.25">
      <c r="B2236" t="s">
        <v>2102</v>
      </c>
      <c r="C2236" t="s">
        <v>2103</v>
      </c>
      <c r="D2236" t="str">
        <f>HYPERLINK("https://rhld.insurance.arkansas.gov/NPILookup?Npi=1164166179","1164166179")</f>
        <v>1164166179</v>
      </c>
      <c r="E2236" t="s">
        <v>451</v>
      </c>
      <c r="F2236" t="s">
        <v>13</v>
      </c>
      <c r="G2236" s="20">
        <v>1</v>
      </c>
      <c r="H2236" t="s">
        <v>4357</v>
      </c>
      <c r="I2236" t="s">
        <v>4357</v>
      </c>
      <c r="J2236" s="9"/>
      <c r="K2236" s="9"/>
      <c r="L2236" s="9"/>
    </row>
    <row r="2237" spans="2:12" ht="15" x14ac:dyDescent="0.25">
      <c r="B2237" t="s">
        <v>2102</v>
      </c>
      <c r="C2237" t="s">
        <v>2103</v>
      </c>
      <c r="D2237" t="str">
        <f>HYPERLINK("https://rhld.insurance.arkansas.gov/NPILookup?Npi=1164294963","1164294963")</f>
        <v>1164294963</v>
      </c>
      <c r="E2237" t="s">
        <v>2057</v>
      </c>
      <c r="F2237" t="s">
        <v>13</v>
      </c>
      <c r="G2237" s="20">
        <v>1</v>
      </c>
      <c r="H2237" t="s">
        <v>4357</v>
      </c>
      <c r="I2237" t="s">
        <v>4357</v>
      </c>
      <c r="J2237" s="9"/>
      <c r="K2237" s="9"/>
      <c r="L2237" s="9"/>
    </row>
    <row r="2238" spans="2:12" ht="15" x14ac:dyDescent="0.25">
      <c r="B2238" t="s">
        <v>2102</v>
      </c>
      <c r="C2238" t="s">
        <v>2103</v>
      </c>
      <c r="D2238" t="str">
        <f>HYPERLINK("https://rhld.insurance.arkansas.gov/NPILookup?Npi=1164401832","1164401832")</f>
        <v>1164401832</v>
      </c>
      <c r="E2238" t="s">
        <v>2312</v>
      </c>
      <c r="F2238" t="s">
        <v>12</v>
      </c>
      <c r="G2238" s="20">
        <v>1</v>
      </c>
      <c r="H2238" t="s">
        <v>139</v>
      </c>
      <c r="I2238" t="s">
        <v>32</v>
      </c>
      <c r="J2238" s="9"/>
      <c r="K2238" s="9"/>
      <c r="L2238" s="9"/>
    </row>
    <row r="2239" spans="2:12" ht="15" x14ac:dyDescent="0.25">
      <c r="B2239" t="s">
        <v>2102</v>
      </c>
      <c r="C2239" t="s">
        <v>2103</v>
      </c>
      <c r="D2239" t="str">
        <f>HYPERLINK("https://rhld.insurance.arkansas.gov/NPILookup?Npi=1164425278","1164425278")</f>
        <v>1164425278</v>
      </c>
      <c r="E2239" t="s">
        <v>2313</v>
      </c>
      <c r="F2239" t="s">
        <v>12</v>
      </c>
      <c r="G2239" s="20">
        <v>1</v>
      </c>
      <c r="H2239" t="s">
        <v>139</v>
      </c>
      <c r="I2239" t="s">
        <v>4357</v>
      </c>
      <c r="J2239" s="9"/>
      <c r="K2239" s="9"/>
      <c r="L2239" s="9"/>
    </row>
    <row r="2240" spans="2:12" ht="15" x14ac:dyDescent="0.25">
      <c r="B2240" t="s">
        <v>2102</v>
      </c>
      <c r="C2240" t="s">
        <v>2103</v>
      </c>
      <c r="D2240" t="str">
        <f>HYPERLINK("https://rhld.insurance.arkansas.gov/NPILookup?Npi=1164430526","1164430526")</f>
        <v>1164430526</v>
      </c>
      <c r="E2240" t="s">
        <v>2314</v>
      </c>
      <c r="F2240" t="s">
        <v>12</v>
      </c>
      <c r="G2240" s="20">
        <v>1</v>
      </c>
      <c r="H2240" t="s">
        <v>139</v>
      </c>
      <c r="I2240" t="s">
        <v>4357</v>
      </c>
      <c r="J2240" s="9"/>
      <c r="K2240" s="9"/>
      <c r="L2240" s="9"/>
    </row>
    <row r="2241" spans="2:12" ht="15" x14ac:dyDescent="0.25">
      <c r="B2241" t="s">
        <v>2102</v>
      </c>
      <c r="C2241" t="s">
        <v>2103</v>
      </c>
      <c r="D2241" t="str">
        <f>HYPERLINK("https://rhld.insurance.arkansas.gov/NPILookup?Npi=1164452223","1164452223")</f>
        <v>1164452223</v>
      </c>
      <c r="E2241" t="s">
        <v>2315</v>
      </c>
      <c r="F2241" t="s">
        <v>12</v>
      </c>
      <c r="G2241" s="20">
        <v>1</v>
      </c>
      <c r="H2241" t="s">
        <v>139</v>
      </c>
      <c r="I2241" t="s">
        <v>4357</v>
      </c>
      <c r="J2241" s="9"/>
      <c r="K2241" s="9"/>
      <c r="L2241" s="9"/>
    </row>
    <row r="2242" spans="2:12" ht="15" x14ac:dyDescent="0.25">
      <c r="B2242" t="s">
        <v>2102</v>
      </c>
      <c r="C2242" t="s">
        <v>2103</v>
      </c>
      <c r="D2242" t="str">
        <f>HYPERLINK("https://rhld.insurance.arkansas.gov/NPILookup?Npi=1164462602","1164462602")</f>
        <v>1164462602</v>
      </c>
      <c r="E2242" t="s">
        <v>452</v>
      </c>
      <c r="F2242" t="s">
        <v>12</v>
      </c>
      <c r="G2242" s="20">
        <v>1</v>
      </c>
      <c r="H2242" t="s">
        <v>4338</v>
      </c>
      <c r="I2242" t="s">
        <v>4357</v>
      </c>
      <c r="J2242" s="9"/>
      <c r="K2242" s="9"/>
      <c r="L2242" s="9"/>
    </row>
    <row r="2243" spans="2:12" ht="15" x14ac:dyDescent="0.25">
      <c r="B2243" t="s">
        <v>2102</v>
      </c>
      <c r="C2243" t="s">
        <v>2103</v>
      </c>
      <c r="D2243" t="str">
        <f>HYPERLINK("https://rhld.insurance.arkansas.gov/NPILookup?Npi=1164469409","1164469409")</f>
        <v>1164469409</v>
      </c>
      <c r="E2243" t="s">
        <v>2316</v>
      </c>
      <c r="F2243" t="s">
        <v>12</v>
      </c>
      <c r="G2243" s="20">
        <v>1</v>
      </c>
      <c r="H2243" t="s">
        <v>4349</v>
      </c>
      <c r="I2243" t="s">
        <v>4357</v>
      </c>
      <c r="J2243" s="9"/>
      <c r="K2243" s="9"/>
      <c r="L2243" s="9"/>
    </row>
    <row r="2244" spans="2:12" ht="15" x14ac:dyDescent="0.25">
      <c r="B2244" t="s">
        <v>2102</v>
      </c>
      <c r="C2244" t="s">
        <v>2103</v>
      </c>
      <c r="D2244" t="str">
        <f>HYPERLINK("https://rhld.insurance.arkansas.gov/NPILookup?Npi=1164482360","1164482360")</f>
        <v>1164482360</v>
      </c>
      <c r="E2244" t="s">
        <v>4497</v>
      </c>
      <c r="F2244" t="s">
        <v>12</v>
      </c>
      <c r="G2244" s="20">
        <v>1</v>
      </c>
      <c r="H2244" t="s">
        <v>4349</v>
      </c>
      <c r="I2244" t="s">
        <v>32</v>
      </c>
      <c r="J2244" s="9"/>
      <c r="K2244" s="9"/>
      <c r="L2244" s="9"/>
    </row>
    <row r="2245" spans="2:12" ht="15" x14ac:dyDescent="0.25">
      <c r="B2245" t="s">
        <v>2102</v>
      </c>
      <c r="C2245" t="s">
        <v>2103</v>
      </c>
      <c r="D2245" t="str">
        <f>HYPERLINK("https://rhld.insurance.arkansas.gov/NPILookup?Npi=1164520771","1164520771")</f>
        <v>1164520771</v>
      </c>
      <c r="E2245" t="s">
        <v>2317</v>
      </c>
      <c r="F2245" t="s">
        <v>12</v>
      </c>
      <c r="G2245" s="20">
        <v>1</v>
      </c>
      <c r="H2245" t="s">
        <v>4349</v>
      </c>
      <c r="I2245" t="s">
        <v>4357</v>
      </c>
      <c r="J2245" s="9"/>
      <c r="K2245" s="9"/>
      <c r="L2245" s="9"/>
    </row>
    <row r="2246" spans="2:12" ht="15" x14ac:dyDescent="0.25">
      <c r="B2246" t="s">
        <v>2102</v>
      </c>
      <c r="C2246" t="s">
        <v>2103</v>
      </c>
      <c r="D2246" t="str">
        <f>HYPERLINK("https://rhld.insurance.arkansas.gov/NPILookup?Npi=1164556460","1164556460")</f>
        <v>1164556460</v>
      </c>
      <c r="E2246" t="s">
        <v>2318</v>
      </c>
      <c r="F2246" t="s">
        <v>12</v>
      </c>
      <c r="G2246" s="20">
        <v>1</v>
      </c>
      <c r="H2246" t="s">
        <v>4338</v>
      </c>
      <c r="I2246" t="s">
        <v>32</v>
      </c>
      <c r="J2246" s="9"/>
      <c r="K2246" s="9"/>
      <c r="L2246" s="9"/>
    </row>
    <row r="2247" spans="2:12" ht="15" x14ac:dyDescent="0.25">
      <c r="B2247" t="s">
        <v>2102</v>
      </c>
      <c r="C2247" t="s">
        <v>2103</v>
      </c>
      <c r="D2247" t="str">
        <f>HYPERLINK("https://rhld.insurance.arkansas.gov/NPILookup?Npi=1164626248","1164626248")</f>
        <v>1164626248</v>
      </c>
      <c r="E2247" t="s">
        <v>2319</v>
      </c>
      <c r="F2247" t="s">
        <v>12</v>
      </c>
      <c r="G2247" s="20">
        <v>1</v>
      </c>
      <c r="H2247" t="s">
        <v>4349</v>
      </c>
      <c r="I2247" t="s">
        <v>4357</v>
      </c>
      <c r="J2247" s="9"/>
      <c r="K2247" s="9"/>
      <c r="L2247" s="9"/>
    </row>
    <row r="2248" spans="2:12" ht="15" x14ac:dyDescent="0.25">
      <c r="B2248" t="s">
        <v>2102</v>
      </c>
      <c r="C2248" t="s">
        <v>2103</v>
      </c>
      <c r="D2248" t="str">
        <f>HYPERLINK("https://rhld.insurance.arkansas.gov/NPILookup?Npi=1164629515","1164629515")</f>
        <v>1164629515</v>
      </c>
      <c r="E2248" t="s">
        <v>2320</v>
      </c>
      <c r="F2248" t="s">
        <v>12</v>
      </c>
      <c r="G2248" s="20">
        <v>1</v>
      </c>
      <c r="H2248" t="s">
        <v>4349</v>
      </c>
      <c r="I2248" t="s">
        <v>32</v>
      </c>
      <c r="J2248" s="9"/>
      <c r="K2248" s="9"/>
      <c r="L2248" s="9"/>
    </row>
    <row r="2249" spans="2:12" ht="15" x14ac:dyDescent="0.25">
      <c r="B2249" t="s">
        <v>2102</v>
      </c>
      <c r="C2249" t="s">
        <v>2103</v>
      </c>
      <c r="D2249" t="str">
        <f>HYPERLINK("https://rhld.insurance.arkansas.gov/NPILookup?Npi=1164643714","1164643714")</f>
        <v>1164643714</v>
      </c>
      <c r="E2249" t="s">
        <v>4498</v>
      </c>
      <c r="F2249" t="s">
        <v>12</v>
      </c>
      <c r="G2249" s="20">
        <v>1</v>
      </c>
      <c r="H2249" t="s">
        <v>4349</v>
      </c>
      <c r="I2249" t="s">
        <v>32</v>
      </c>
      <c r="J2249" s="9"/>
      <c r="K2249" s="9"/>
      <c r="L2249" s="9"/>
    </row>
    <row r="2250" spans="2:12" ht="15" x14ac:dyDescent="0.25">
      <c r="B2250" t="s">
        <v>2102</v>
      </c>
      <c r="C2250" t="s">
        <v>2103</v>
      </c>
      <c r="D2250" t="str">
        <f>HYPERLINK("https://rhld.insurance.arkansas.gov/NPILookup?Npi=1164789533","1164789533")</f>
        <v>1164789533</v>
      </c>
      <c r="E2250" t="s">
        <v>4499</v>
      </c>
      <c r="F2250" t="s">
        <v>12</v>
      </c>
      <c r="G2250" s="20">
        <v>1</v>
      </c>
      <c r="H2250" t="s">
        <v>4349</v>
      </c>
      <c r="I2250" t="s">
        <v>4357</v>
      </c>
      <c r="J2250" s="9"/>
      <c r="K2250" s="9"/>
      <c r="L2250" s="9"/>
    </row>
    <row r="2251" spans="2:12" ht="15" x14ac:dyDescent="0.25">
      <c r="B2251" t="s">
        <v>2102</v>
      </c>
      <c r="C2251" t="s">
        <v>2103</v>
      </c>
      <c r="D2251" t="str">
        <f>HYPERLINK("https://rhld.insurance.arkansas.gov/NPILookup?Npi=1164818233","1164818233")</f>
        <v>1164818233</v>
      </c>
      <c r="E2251" t="s">
        <v>4500</v>
      </c>
      <c r="F2251" t="s">
        <v>12</v>
      </c>
      <c r="G2251" s="20">
        <v>1</v>
      </c>
      <c r="H2251" t="s">
        <v>4349</v>
      </c>
      <c r="I2251" t="s">
        <v>4357</v>
      </c>
      <c r="J2251" s="9"/>
      <c r="K2251" s="9"/>
      <c r="L2251" s="9"/>
    </row>
    <row r="2252" spans="2:12" ht="15" x14ac:dyDescent="0.25">
      <c r="B2252" t="s">
        <v>2102</v>
      </c>
      <c r="C2252" t="s">
        <v>2103</v>
      </c>
      <c r="D2252" t="str">
        <f>HYPERLINK("https://rhld.insurance.arkansas.gov/NPILookup?Npi=1164832903","1164832903")</f>
        <v>1164832903</v>
      </c>
      <c r="E2252" t="s">
        <v>2322</v>
      </c>
      <c r="F2252" t="s">
        <v>12</v>
      </c>
      <c r="G2252" s="20">
        <v>1</v>
      </c>
      <c r="H2252" t="s">
        <v>4338</v>
      </c>
      <c r="I2252" t="s">
        <v>32</v>
      </c>
      <c r="J2252" s="9"/>
      <c r="K2252" s="9"/>
      <c r="L2252" s="9"/>
    </row>
    <row r="2253" spans="2:12" ht="15" x14ac:dyDescent="0.25">
      <c r="B2253" t="s">
        <v>2102</v>
      </c>
      <c r="C2253" t="s">
        <v>2103</v>
      </c>
      <c r="D2253" t="str">
        <f>HYPERLINK("https://rhld.insurance.arkansas.gov/NPILookup?Npi=1164886057","1164886057")</f>
        <v>1164886057</v>
      </c>
      <c r="E2253" t="s">
        <v>2323</v>
      </c>
      <c r="F2253" t="s">
        <v>12</v>
      </c>
      <c r="G2253" s="20">
        <v>1</v>
      </c>
      <c r="H2253" t="s">
        <v>4349</v>
      </c>
      <c r="I2253" t="s">
        <v>4357</v>
      </c>
      <c r="J2253" s="9"/>
      <c r="K2253" s="9"/>
      <c r="L2253" s="9"/>
    </row>
    <row r="2254" spans="2:12" ht="15" x14ac:dyDescent="0.25">
      <c r="B2254" t="s">
        <v>2102</v>
      </c>
      <c r="C2254" t="s">
        <v>2103</v>
      </c>
      <c r="D2254" t="str">
        <f>HYPERLINK("https://rhld.insurance.arkansas.gov/NPILookup?Npi=1164893756","1164893756")</f>
        <v>1164893756</v>
      </c>
      <c r="E2254" t="s">
        <v>2324</v>
      </c>
      <c r="F2254" t="s">
        <v>13</v>
      </c>
      <c r="G2254" s="20">
        <v>1</v>
      </c>
      <c r="H2254" t="s">
        <v>4357</v>
      </c>
      <c r="I2254" t="s">
        <v>4357</v>
      </c>
      <c r="J2254" s="9"/>
      <c r="K2254" s="9"/>
      <c r="L2254" s="9"/>
    </row>
    <row r="2255" spans="2:12" ht="15" x14ac:dyDescent="0.25">
      <c r="B2255" t="s">
        <v>2102</v>
      </c>
      <c r="C2255" t="s">
        <v>2103</v>
      </c>
      <c r="D2255" t="str">
        <f>HYPERLINK("https://rhld.insurance.arkansas.gov/NPILookup?Npi=1164943908","1164943908")</f>
        <v>1164943908</v>
      </c>
      <c r="E2255" t="s">
        <v>2325</v>
      </c>
      <c r="F2255" t="s">
        <v>12</v>
      </c>
      <c r="G2255" s="20">
        <v>1</v>
      </c>
      <c r="H2255" t="s">
        <v>4349</v>
      </c>
      <c r="I2255" t="s">
        <v>32</v>
      </c>
      <c r="J2255" s="9"/>
      <c r="K2255" s="9"/>
      <c r="L2255" s="9"/>
    </row>
    <row r="2256" spans="2:12" ht="15" x14ac:dyDescent="0.25">
      <c r="B2256" t="s">
        <v>2102</v>
      </c>
      <c r="C2256" t="s">
        <v>2103</v>
      </c>
      <c r="D2256" t="str">
        <f>HYPERLINK("https://rhld.insurance.arkansas.gov/NPILookup?Npi=1164945077","1164945077")</f>
        <v>1164945077</v>
      </c>
      <c r="E2256" t="s">
        <v>2326</v>
      </c>
      <c r="F2256" t="s">
        <v>12</v>
      </c>
      <c r="G2256" s="20">
        <v>1</v>
      </c>
      <c r="H2256" t="s">
        <v>4349</v>
      </c>
      <c r="I2256" t="s">
        <v>32</v>
      </c>
      <c r="J2256" s="9"/>
      <c r="K2256" s="9"/>
      <c r="L2256" s="9"/>
    </row>
    <row r="2257" spans="2:12" ht="15" x14ac:dyDescent="0.25">
      <c r="B2257" t="s">
        <v>2102</v>
      </c>
      <c r="C2257" t="s">
        <v>2103</v>
      </c>
      <c r="D2257" t="str">
        <f>HYPERLINK("https://rhld.insurance.arkansas.gov/NPILookup?Npi=1164956736","1164956736")</f>
        <v>1164956736</v>
      </c>
      <c r="E2257" t="s">
        <v>2327</v>
      </c>
      <c r="F2257" t="s">
        <v>12</v>
      </c>
      <c r="G2257" s="20">
        <v>1</v>
      </c>
      <c r="H2257" t="s">
        <v>4349</v>
      </c>
      <c r="I2257" t="s">
        <v>4357</v>
      </c>
      <c r="J2257" s="9"/>
      <c r="K2257" s="9"/>
      <c r="L2257" s="9"/>
    </row>
    <row r="2258" spans="2:12" ht="15" x14ac:dyDescent="0.25">
      <c r="B2258" t="s">
        <v>2102</v>
      </c>
      <c r="C2258" t="s">
        <v>2103</v>
      </c>
      <c r="D2258" t="str">
        <f>HYPERLINK("https://rhld.insurance.arkansas.gov/NPILookup?Npi=1164991048","1164991048")</f>
        <v>1164991048</v>
      </c>
      <c r="E2258" t="s">
        <v>2058</v>
      </c>
      <c r="F2258" t="s">
        <v>13</v>
      </c>
      <c r="G2258" s="20">
        <v>1</v>
      </c>
      <c r="H2258" t="s">
        <v>4357</v>
      </c>
      <c r="I2258" t="s">
        <v>4357</v>
      </c>
      <c r="J2258" s="9"/>
      <c r="K2258" s="9"/>
      <c r="L2258" s="9"/>
    </row>
    <row r="2259" spans="2:12" ht="15" x14ac:dyDescent="0.25">
      <c r="B2259" t="s">
        <v>2102</v>
      </c>
      <c r="C2259" t="s">
        <v>2103</v>
      </c>
      <c r="D2259" t="str">
        <f>HYPERLINK("https://rhld.insurance.arkansas.gov/NPILookup?Npi=1174019905","1174019905")</f>
        <v>1174019905</v>
      </c>
      <c r="E2259" t="s">
        <v>2329</v>
      </c>
      <c r="F2259" t="s">
        <v>12</v>
      </c>
      <c r="G2259" s="20">
        <v>1</v>
      </c>
      <c r="H2259" t="s">
        <v>4349</v>
      </c>
      <c r="I2259" t="s">
        <v>32</v>
      </c>
      <c r="J2259" s="9"/>
      <c r="K2259" s="9"/>
      <c r="L2259" s="9"/>
    </row>
    <row r="2260" spans="2:12" ht="15" x14ac:dyDescent="0.25">
      <c r="B2260" t="s">
        <v>2102</v>
      </c>
      <c r="C2260" t="s">
        <v>2103</v>
      </c>
      <c r="D2260" t="str">
        <f>HYPERLINK("https://rhld.insurance.arkansas.gov/NPILookup?Npi=1174056121","1174056121")</f>
        <v>1174056121</v>
      </c>
      <c r="E2260" t="s">
        <v>1399</v>
      </c>
      <c r="F2260" t="s">
        <v>12</v>
      </c>
      <c r="G2260" s="20">
        <v>1</v>
      </c>
      <c r="H2260" t="s">
        <v>4349</v>
      </c>
      <c r="I2260" t="s">
        <v>32</v>
      </c>
      <c r="J2260" s="9"/>
      <c r="K2260" s="9"/>
      <c r="L2260" s="9"/>
    </row>
    <row r="2261" spans="2:12" ht="15" x14ac:dyDescent="0.25">
      <c r="B2261" t="s">
        <v>2102</v>
      </c>
      <c r="C2261" t="s">
        <v>2103</v>
      </c>
      <c r="D2261" t="str">
        <f>HYPERLINK("https://rhld.insurance.arkansas.gov/NPILookup?Npi=1174071583","1174071583")</f>
        <v>1174071583</v>
      </c>
      <c r="E2261" t="s">
        <v>1585</v>
      </c>
      <c r="F2261" t="s">
        <v>12</v>
      </c>
      <c r="G2261" s="20">
        <v>1</v>
      </c>
      <c r="H2261" t="s">
        <v>4338</v>
      </c>
      <c r="I2261" t="s">
        <v>32</v>
      </c>
      <c r="J2261" s="9"/>
      <c r="K2261" s="9"/>
      <c r="L2261" s="9"/>
    </row>
    <row r="2262" spans="2:12" ht="15" x14ac:dyDescent="0.25">
      <c r="B2262" t="s">
        <v>2102</v>
      </c>
      <c r="C2262" t="s">
        <v>2103</v>
      </c>
      <c r="D2262" t="str">
        <f>HYPERLINK("https://rhld.insurance.arkansas.gov/NPILookup?Npi=1174115265","1174115265")</f>
        <v>1174115265</v>
      </c>
      <c r="E2262" t="s">
        <v>2330</v>
      </c>
      <c r="F2262" t="s">
        <v>12</v>
      </c>
      <c r="G2262" s="20">
        <v>1</v>
      </c>
      <c r="H2262" t="s">
        <v>4338</v>
      </c>
      <c r="I2262" t="s">
        <v>32</v>
      </c>
      <c r="J2262" s="9"/>
      <c r="K2262" s="9"/>
      <c r="L2262" s="9"/>
    </row>
    <row r="2263" spans="2:12" ht="15" x14ac:dyDescent="0.25">
      <c r="B2263" t="s">
        <v>2102</v>
      </c>
      <c r="C2263" t="s">
        <v>2103</v>
      </c>
      <c r="D2263" t="str">
        <f>HYPERLINK("https://rhld.insurance.arkansas.gov/NPILookup?Npi=1174216907","1174216907")</f>
        <v>1174216907</v>
      </c>
      <c r="E2263" t="s">
        <v>2332</v>
      </c>
      <c r="F2263" t="s">
        <v>12</v>
      </c>
      <c r="G2263" s="20">
        <v>1</v>
      </c>
      <c r="H2263" t="s">
        <v>4338</v>
      </c>
      <c r="I2263" t="s">
        <v>32</v>
      </c>
      <c r="J2263" s="9"/>
      <c r="K2263" s="9"/>
      <c r="L2263" s="9"/>
    </row>
    <row r="2264" spans="2:12" ht="15" x14ac:dyDescent="0.25">
      <c r="B2264" t="s">
        <v>2102</v>
      </c>
      <c r="C2264" t="s">
        <v>2103</v>
      </c>
      <c r="D2264" t="str">
        <f>HYPERLINK("https://rhld.insurance.arkansas.gov/NPILookup?Npi=1174544811","1174544811")</f>
        <v>1174544811</v>
      </c>
      <c r="E2264" t="s">
        <v>2334</v>
      </c>
      <c r="F2264" t="s">
        <v>12</v>
      </c>
      <c r="G2264" s="20">
        <v>1</v>
      </c>
      <c r="H2264" t="s">
        <v>4338</v>
      </c>
      <c r="I2264" t="s">
        <v>4357</v>
      </c>
      <c r="J2264" s="9"/>
      <c r="K2264" s="9"/>
      <c r="L2264" s="9"/>
    </row>
    <row r="2265" spans="2:12" ht="15" x14ac:dyDescent="0.25">
      <c r="B2265" t="s">
        <v>2102</v>
      </c>
      <c r="C2265" t="s">
        <v>2103</v>
      </c>
      <c r="D2265" t="str">
        <f>HYPERLINK("https://rhld.insurance.arkansas.gov/NPILookup?Npi=1174560726","1174560726")</f>
        <v>1174560726</v>
      </c>
      <c r="E2265" t="s">
        <v>2335</v>
      </c>
      <c r="F2265" t="s">
        <v>12</v>
      </c>
      <c r="G2265" s="20">
        <v>1</v>
      </c>
      <c r="H2265" t="s">
        <v>139</v>
      </c>
      <c r="I2265" t="s">
        <v>32</v>
      </c>
      <c r="J2265" s="9"/>
      <c r="K2265" s="9"/>
      <c r="L2265" s="9"/>
    </row>
    <row r="2266" spans="2:12" ht="15" x14ac:dyDescent="0.25">
      <c r="B2266" t="s">
        <v>2102</v>
      </c>
      <c r="C2266" t="s">
        <v>2103</v>
      </c>
      <c r="D2266" t="str">
        <f>HYPERLINK("https://rhld.insurance.arkansas.gov/NPILookup?Npi=1174571517","1174571517")</f>
        <v>1174571517</v>
      </c>
      <c r="E2266" t="s">
        <v>2336</v>
      </c>
      <c r="F2266" t="s">
        <v>12</v>
      </c>
      <c r="G2266" s="20">
        <v>1</v>
      </c>
      <c r="H2266" t="s">
        <v>4338</v>
      </c>
      <c r="I2266" t="s">
        <v>32</v>
      </c>
      <c r="J2266" s="9"/>
      <c r="K2266" s="9"/>
      <c r="L2266" s="9"/>
    </row>
    <row r="2267" spans="2:12" ht="15" x14ac:dyDescent="0.25">
      <c r="B2267" t="s">
        <v>2102</v>
      </c>
      <c r="C2267" t="s">
        <v>2103</v>
      </c>
      <c r="D2267" t="str">
        <f>HYPERLINK("https://rhld.insurance.arkansas.gov/NPILookup?Npi=1174683205","1174683205")</f>
        <v>1174683205</v>
      </c>
      <c r="E2267" t="s">
        <v>2337</v>
      </c>
      <c r="F2267" t="s">
        <v>13</v>
      </c>
      <c r="G2267" s="20">
        <v>1</v>
      </c>
      <c r="H2267" t="s">
        <v>87</v>
      </c>
      <c r="I2267" t="s">
        <v>32</v>
      </c>
      <c r="J2267" s="9"/>
      <c r="K2267" s="9"/>
      <c r="L2267" s="9"/>
    </row>
    <row r="2268" spans="2:12" ht="15" x14ac:dyDescent="0.25">
      <c r="B2268" t="s">
        <v>2102</v>
      </c>
      <c r="C2268" t="s">
        <v>2103</v>
      </c>
      <c r="D2268" t="str">
        <f>HYPERLINK("https://rhld.insurance.arkansas.gov/NPILookup?Npi=1174791081","1174791081")</f>
        <v>1174791081</v>
      </c>
      <c r="E2268" t="s">
        <v>2338</v>
      </c>
      <c r="F2268" t="s">
        <v>13</v>
      </c>
      <c r="G2268" s="20">
        <v>1</v>
      </c>
      <c r="H2268" t="s">
        <v>87</v>
      </c>
      <c r="I2268" t="s">
        <v>32</v>
      </c>
      <c r="J2268" s="9"/>
      <c r="K2268" s="9"/>
      <c r="L2268" s="9"/>
    </row>
    <row r="2269" spans="2:12" ht="15" x14ac:dyDescent="0.25">
      <c r="B2269" t="s">
        <v>2102</v>
      </c>
      <c r="C2269" t="s">
        <v>2103</v>
      </c>
      <c r="D2269" t="str">
        <f>HYPERLINK("https://rhld.insurance.arkansas.gov/NPILookup?Npi=1174829634","1174829634")</f>
        <v>1174829634</v>
      </c>
      <c r="E2269" t="s">
        <v>2339</v>
      </c>
      <c r="F2269" t="s">
        <v>12</v>
      </c>
      <c r="G2269" s="20">
        <v>1</v>
      </c>
      <c r="H2269" t="s">
        <v>4338</v>
      </c>
      <c r="I2269" t="s">
        <v>32</v>
      </c>
      <c r="J2269" s="9"/>
      <c r="K2269" s="9"/>
      <c r="L2269" s="9"/>
    </row>
    <row r="2270" spans="2:12" ht="15" x14ac:dyDescent="0.25">
      <c r="B2270" t="s">
        <v>2102</v>
      </c>
      <c r="C2270" t="s">
        <v>2103</v>
      </c>
      <c r="D2270" t="str">
        <f>HYPERLINK("https://rhld.insurance.arkansas.gov/NPILookup?Npi=1174887673","1174887673")</f>
        <v>1174887673</v>
      </c>
      <c r="E2270" t="s">
        <v>4501</v>
      </c>
      <c r="F2270" t="s">
        <v>12</v>
      </c>
      <c r="G2270" s="20">
        <v>1</v>
      </c>
      <c r="H2270" t="s">
        <v>4349</v>
      </c>
      <c r="I2270" t="s">
        <v>32</v>
      </c>
      <c r="J2270" s="9"/>
      <c r="K2270" s="9"/>
      <c r="L2270" s="9"/>
    </row>
    <row r="2271" spans="2:12" ht="15" x14ac:dyDescent="0.25">
      <c r="B2271" t="s">
        <v>2102</v>
      </c>
      <c r="C2271" t="s">
        <v>2103</v>
      </c>
      <c r="D2271" t="str">
        <f>HYPERLINK("https://rhld.insurance.arkansas.gov/NPILookup?Npi=1184083263","1184083263")</f>
        <v>1184083263</v>
      </c>
      <c r="E2271" t="s">
        <v>2340</v>
      </c>
      <c r="F2271" t="s">
        <v>13</v>
      </c>
      <c r="G2271" s="20">
        <v>1</v>
      </c>
      <c r="H2271" t="s">
        <v>87</v>
      </c>
      <c r="I2271" t="s">
        <v>4357</v>
      </c>
      <c r="J2271" s="9"/>
      <c r="K2271" s="9"/>
      <c r="L2271" s="9"/>
    </row>
    <row r="2272" spans="2:12" ht="15" x14ac:dyDescent="0.25">
      <c r="B2272" t="s">
        <v>2102</v>
      </c>
      <c r="C2272" t="s">
        <v>2103</v>
      </c>
      <c r="D2272" t="str">
        <f>HYPERLINK("https://rhld.insurance.arkansas.gov/NPILookup?Npi=1184121220","1184121220")</f>
        <v>1184121220</v>
      </c>
      <c r="E2272" t="s">
        <v>2341</v>
      </c>
      <c r="F2272" t="s">
        <v>12</v>
      </c>
      <c r="G2272" s="20">
        <v>1</v>
      </c>
      <c r="H2272" t="s">
        <v>4349</v>
      </c>
      <c r="I2272" t="s">
        <v>32</v>
      </c>
      <c r="J2272" s="9"/>
      <c r="K2272" s="9"/>
      <c r="L2272" s="9"/>
    </row>
    <row r="2273" spans="2:12" ht="15" x14ac:dyDescent="0.25">
      <c r="B2273" t="s">
        <v>2102</v>
      </c>
      <c r="C2273" t="s">
        <v>2103</v>
      </c>
      <c r="D2273" t="str">
        <f>HYPERLINK("https://rhld.insurance.arkansas.gov/NPILookup?Npi=1184156226","1184156226")</f>
        <v>1184156226</v>
      </c>
      <c r="E2273" t="s">
        <v>2342</v>
      </c>
      <c r="F2273" t="s">
        <v>12</v>
      </c>
      <c r="G2273" s="20">
        <v>1</v>
      </c>
      <c r="H2273" t="s">
        <v>4349</v>
      </c>
      <c r="I2273" t="s">
        <v>32</v>
      </c>
      <c r="J2273" s="9"/>
      <c r="K2273" s="9"/>
      <c r="L2273" s="9"/>
    </row>
    <row r="2274" spans="2:12" ht="15" x14ac:dyDescent="0.25">
      <c r="B2274" t="s">
        <v>2102</v>
      </c>
      <c r="C2274" t="s">
        <v>2103</v>
      </c>
      <c r="D2274" t="str">
        <f>HYPERLINK("https://rhld.insurance.arkansas.gov/NPILookup?Npi=1184192510","1184192510")</f>
        <v>1184192510</v>
      </c>
      <c r="E2274" t="s">
        <v>460</v>
      </c>
      <c r="F2274" t="s">
        <v>12</v>
      </c>
      <c r="G2274" s="20">
        <v>1</v>
      </c>
      <c r="H2274" t="s">
        <v>4338</v>
      </c>
      <c r="I2274" t="s">
        <v>32</v>
      </c>
      <c r="J2274" s="9"/>
      <c r="K2274" s="9"/>
      <c r="L2274" s="9"/>
    </row>
    <row r="2275" spans="2:12" ht="15" x14ac:dyDescent="0.25">
      <c r="B2275" t="s">
        <v>2102</v>
      </c>
      <c r="C2275" t="s">
        <v>2103</v>
      </c>
      <c r="D2275" t="str">
        <f>HYPERLINK("https://rhld.insurance.arkansas.gov/NPILookup?Npi=1184253189","1184253189")</f>
        <v>1184253189</v>
      </c>
      <c r="E2275" t="s">
        <v>2343</v>
      </c>
      <c r="F2275" t="s">
        <v>12</v>
      </c>
      <c r="G2275" s="20">
        <v>1</v>
      </c>
      <c r="H2275" t="s">
        <v>4349</v>
      </c>
      <c r="I2275" t="s">
        <v>32</v>
      </c>
      <c r="J2275" s="9"/>
      <c r="K2275" s="9"/>
      <c r="L2275" s="9"/>
    </row>
    <row r="2276" spans="2:12" ht="15" x14ac:dyDescent="0.25">
      <c r="B2276" t="s">
        <v>2102</v>
      </c>
      <c r="C2276" t="s">
        <v>2103</v>
      </c>
      <c r="D2276" t="str">
        <f>HYPERLINK("https://rhld.insurance.arkansas.gov/NPILookup?Npi=1184254765","1184254765")</f>
        <v>1184254765</v>
      </c>
      <c r="E2276" t="s">
        <v>2059</v>
      </c>
      <c r="F2276" t="s">
        <v>13</v>
      </c>
      <c r="G2276" s="20">
        <v>1</v>
      </c>
      <c r="H2276" t="s">
        <v>4357</v>
      </c>
      <c r="I2276" t="s">
        <v>4357</v>
      </c>
      <c r="J2276" s="9"/>
      <c r="K2276" s="9"/>
      <c r="L2276" s="9"/>
    </row>
    <row r="2277" spans="2:12" ht="15" x14ac:dyDescent="0.25">
      <c r="B2277" t="s">
        <v>2102</v>
      </c>
      <c r="C2277" t="s">
        <v>2103</v>
      </c>
      <c r="D2277" t="str">
        <f>HYPERLINK("https://rhld.insurance.arkansas.gov/NPILookup?Npi=1184279739","1184279739")</f>
        <v>1184279739</v>
      </c>
      <c r="E2277" t="s">
        <v>2345</v>
      </c>
      <c r="F2277" t="s">
        <v>13</v>
      </c>
      <c r="G2277" s="20">
        <v>1</v>
      </c>
      <c r="H2277" t="s">
        <v>4357</v>
      </c>
      <c r="I2277" t="s">
        <v>4357</v>
      </c>
      <c r="J2277" s="9"/>
      <c r="K2277" s="9"/>
      <c r="L2277" s="9"/>
    </row>
    <row r="2278" spans="2:12" ht="15" x14ac:dyDescent="0.25">
      <c r="B2278" t="s">
        <v>2102</v>
      </c>
      <c r="C2278" t="s">
        <v>2103</v>
      </c>
      <c r="D2278" t="str">
        <f>HYPERLINK("https://rhld.insurance.arkansas.gov/NPILookup?Npi=1184284473","1184284473")</f>
        <v>1184284473</v>
      </c>
      <c r="E2278" t="s">
        <v>2346</v>
      </c>
      <c r="F2278" t="s">
        <v>12</v>
      </c>
      <c r="G2278" s="20">
        <v>1</v>
      </c>
      <c r="H2278" t="s">
        <v>4338</v>
      </c>
      <c r="I2278" t="s">
        <v>32</v>
      </c>
      <c r="J2278" s="9"/>
      <c r="K2278" s="9"/>
      <c r="L2278" s="9"/>
    </row>
    <row r="2279" spans="2:12" ht="15" x14ac:dyDescent="0.25">
      <c r="B2279" t="s">
        <v>2102</v>
      </c>
      <c r="C2279" t="s">
        <v>2103</v>
      </c>
      <c r="D2279" t="str">
        <f>HYPERLINK("https://rhld.insurance.arkansas.gov/NPILookup?Npi=1184685422","1184685422")</f>
        <v>1184685422</v>
      </c>
      <c r="E2279" t="s">
        <v>2349</v>
      </c>
      <c r="F2279" t="s">
        <v>12</v>
      </c>
      <c r="G2279" s="20">
        <v>1</v>
      </c>
      <c r="H2279" t="s">
        <v>4349</v>
      </c>
      <c r="I2279" t="s">
        <v>4357</v>
      </c>
      <c r="J2279" s="9"/>
      <c r="K2279" s="9"/>
      <c r="L2279" s="9"/>
    </row>
    <row r="2280" spans="2:12" ht="15" x14ac:dyDescent="0.25">
      <c r="B2280" t="s">
        <v>2102</v>
      </c>
      <c r="C2280" t="s">
        <v>2103</v>
      </c>
      <c r="D2280" t="str">
        <f>HYPERLINK("https://rhld.insurance.arkansas.gov/NPILookup?Npi=1184686982","1184686982")</f>
        <v>1184686982</v>
      </c>
      <c r="E2280" t="s">
        <v>2350</v>
      </c>
      <c r="F2280" t="s">
        <v>12</v>
      </c>
      <c r="G2280" s="20">
        <v>1</v>
      </c>
      <c r="H2280" t="s">
        <v>4349</v>
      </c>
      <c r="I2280" t="s">
        <v>32</v>
      </c>
      <c r="J2280" s="9"/>
      <c r="K2280" s="9"/>
      <c r="L2280" s="9"/>
    </row>
    <row r="2281" spans="2:12" ht="15" x14ac:dyDescent="0.25">
      <c r="B2281" t="s">
        <v>2102</v>
      </c>
      <c r="C2281" t="s">
        <v>2103</v>
      </c>
      <c r="D2281" t="str">
        <f>HYPERLINK("https://rhld.insurance.arkansas.gov/NPILookup?Npi=1184853186","1184853186")</f>
        <v>1184853186</v>
      </c>
      <c r="E2281" t="s">
        <v>2351</v>
      </c>
      <c r="F2281" t="s">
        <v>12</v>
      </c>
      <c r="G2281" s="20">
        <v>1</v>
      </c>
      <c r="H2281" t="s">
        <v>4349</v>
      </c>
      <c r="I2281" t="s">
        <v>4357</v>
      </c>
      <c r="J2281" s="9"/>
      <c r="K2281" s="9"/>
      <c r="L2281" s="9"/>
    </row>
    <row r="2282" spans="2:12" ht="15" x14ac:dyDescent="0.25">
      <c r="B2282" t="s">
        <v>2102</v>
      </c>
      <c r="C2282" t="s">
        <v>2103</v>
      </c>
      <c r="D2282" t="str">
        <f>HYPERLINK("https://rhld.insurance.arkansas.gov/NPILookup?Npi=1184885253","1184885253")</f>
        <v>1184885253</v>
      </c>
      <c r="E2282" t="s">
        <v>2352</v>
      </c>
      <c r="F2282" t="s">
        <v>12</v>
      </c>
      <c r="G2282" s="20">
        <v>1</v>
      </c>
      <c r="H2282" t="s">
        <v>4338</v>
      </c>
      <c r="I2282" t="s">
        <v>32</v>
      </c>
      <c r="J2282" s="9"/>
      <c r="K2282" s="9"/>
      <c r="L2282" s="9"/>
    </row>
    <row r="2283" spans="2:12" ht="15" x14ac:dyDescent="0.25">
      <c r="B2283" t="s">
        <v>2102</v>
      </c>
      <c r="C2283" t="s">
        <v>2103</v>
      </c>
      <c r="D2283" t="str">
        <f>HYPERLINK("https://rhld.insurance.arkansas.gov/NPILookup?Npi=1194073015","1194073015")</f>
        <v>1194073015</v>
      </c>
      <c r="E2283" t="s">
        <v>2353</v>
      </c>
      <c r="F2283" t="s">
        <v>12</v>
      </c>
      <c r="G2283" s="20">
        <v>1</v>
      </c>
      <c r="H2283" t="s">
        <v>4349</v>
      </c>
      <c r="I2283" t="s">
        <v>32</v>
      </c>
      <c r="J2283" s="9"/>
      <c r="K2283" s="9"/>
      <c r="L2283" s="9"/>
    </row>
    <row r="2284" spans="2:12" ht="15" x14ac:dyDescent="0.25">
      <c r="B2284" t="s">
        <v>2102</v>
      </c>
      <c r="C2284" t="s">
        <v>2103</v>
      </c>
      <c r="D2284" t="str">
        <f>HYPERLINK("https://rhld.insurance.arkansas.gov/NPILookup?Npi=1194119016","1194119016")</f>
        <v>1194119016</v>
      </c>
      <c r="E2284" t="s">
        <v>2354</v>
      </c>
      <c r="F2284" t="s">
        <v>12</v>
      </c>
      <c r="G2284" s="20">
        <v>1</v>
      </c>
      <c r="H2284" t="s">
        <v>4338</v>
      </c>
      <c r="I2284" t="s">
        <v>32</v>
      </c>
      <c r="J2284" s="9"/>
      <c r="K2284" s="9"/>
      <c r="L2284" s="9"/>
    </row>
    <row r="2285" spans="2:12" ht="15" x14ac:dyDescent="0.25">
      <c r="B2285" t="s">
        <v>2102</v>
      </c>
      <c r="C2285" t="s">
        <v>2103</v>
      </c>
      <c r="D2285" t="str">
        <f>HYPERLINK("https://rhld.insurance.arkansas.gov/NPILookup?Npi=1194236935","1194236935")</f>
        <v>1194236935</v>
      </c>
      <c r="E2285" t="s">
        <v>2355</v>
      </c>
      <c r="F2285" t="s">
        <v>12</v>
      </c>
      <c r="G2285" s="20">
        <v>1</v>
      </c>
      <c r="H2285" t="s">
        <v>4338</v>
      </c>
      <c r="I2285" t="s">
        <v>32</v>
      </c>
      <c r="J2285" s="9"/>
      <c r="K2285" s="9"/>
      <c r="L2285" s="9"/>
    </row>
    <row r="2286" spans="2:12" ht="15" x14ac:dyDescent="0.25">
      <c r="B2286" t="s">
        <v>2102</v>
      </c>
      <c r="C2286" t="s">
        <v>2103</v>
      </c>
      <c r="D2286" t="str">
        <f>HYPERLINK("https://rhld.insurance.arkansas.gov/NPILookup?Npi=1194277947","1194277947")</f>
        <v>1194277947</v>
      </c>
      <c r="E2286" t="s">
        <v>2357</v>
      </c>
      <c r="F2286" t="s">
        <v>12</v>
      </c>
      <c r="G2286" s="20">
        <v>1</v>
      </c>
      <c r="H2286" t="s">
        <v>4338</v>
      </c>
      <c r="I2286" t="s">
        <v>32</v>
      </c>
      <c r="J2286" s="9"/>
      <c r="K2286" s="9"/>
      <c r="L2286" s="9"/>
    </row>
    <row r="2287" spans="2:12" ht="15" x14ac:dyDescent="0.25">
      <c r="B2287" t="s">
        <v>2102</v>
      </c>
      <c r="C2287" t="s">
        <v>2103</v>
      </c>
      <c r="D2287" t="str">
        <f>HYPERLINK("https://rhld.insurance.arkansas.gov/NPILookup?Npi=1194367136","1194367136")</f>
        <v>1194367136</v>
      </c>
      <c r="E2287" t="s">
        <v>2360</v>
      </c>
      <c r="F2287" t="s">
        <v>13</v>
      </c>
      <c r="G2287" s="20">
        <v>1</v>
      </c>
      <c r="H2287" t="s">
        <v>4357</v>
      </c>
      <c r="I2287" t="s">
        <v>4357</v>
      </c>
      <c r="J2287" s="9"/>
      <c r="K2287" s="9"/>
      <c r="L2287" s="9"/>
    </row>
    <row r="2288" spans="2:12" ht="15" x14ac:dyDescent="0.25">
      <c r="B2288" t="s">
        <v>2102</v>
      </c>
      <c r="C2288" t="s">
        <v>2103</v>
      </c>
      <c r="D2288" t="str">
        <f>HYPERLINK("https://rhld.insurance.arkansas.gov/NPILookup?Npi=1194442731","1194442731")</f>
        <v>1194442731</v>
      </c>
      <c r="E2288" t="s">
        <v>2361</v>
      </c>
      <c r="F2288" t="s">
        <v>13</v>
      </c>
      <c r="G2288" s="20">
        <v>1</v>
      </c>
      <c r="H2288" t="s">
        <v>4357</v>
      </c>
      <c r="I2288" t="s">
        <v>4357</v>
      </c>
      <c r="J2288" s="9"/>
      <c r="K2288" s="9"/>
      <c r="L2288" s="9"/>
    </row>
    <row r="2289" spans="2:12" ht="15" x14ac:dyDescent="0.25">
      <c r="B2289" t="s">
        <v>2102</v>
      </c>
      <c r="C2289" t="s">
        <v>2103</v>
      </c>
      <c r="D2289" t="str">
        <f>HYPERLINK("https://rhld.insurance.arkansas.gov/NPILookup?Npi=1194560771","1194560771")</f>
        <v>1194560771</v>
      </c>
      <c r="E2289" t="s">
        <v>2060</v>
      </c>
      <c r="F2289" t="s">
        <v>13</v>
      </c>
      <c r="G2289" s="20">
        <v>1</v>
      </c>
      <c r="H2289" t="s">
        <v>4357</v>
      </c>
      <c r="I2289" t="s">
        <v>4357</v>
      </c>
      <c r="J2289" s="9"/>
      <c r="K2289" s="9"/>
      <c r="L2289" s="9"/>
    </row>
    <row r="2290" spans="2:12" ht="15" x14ac:dyDescent="0.25">
      <c r="B2290" t="s">
        <v>2102</v>
      </c>
      <c r="C2290" t="s">
        <v>2103</v>
      </c>
      <c r="D2290" t="str">
        <f>HYPERLINK("https://rhld.insurance.arkansas.gov/NPILookup?Npi=1194753046","1194753046")</f>
        <v>1194753046</v>
      </c>
      <c r="E2290" t="s">
        <v>2362</v>
      </c>
      <c r="F2290" t="s">
        <v>12</v>
      </c>
      <c r="G2290" s="20">
        <v>1</v>
      </c>
      <c r="H2290" t="s">
        <v>4338</v>
      </c>
      <c r="I2290" t="s">
        <v>32</v>
      </c>
      <c r="J2290" s="9"/>
      <c r="K2290" s="9"/>
      <c r="L2290" s="9"/>
    </row>
    <row r="2291" spans="2:12" ht="15" x14ac:dyDescent="0.25">
      <c r="B2291" t="s">
        <v>2102</v>
      </c>
      <c r="C2291" t="s">
        <v>2103</v>
      </c>
      <c r="D2291" t="str">
        <f>HYPERLINK("https://rhld.insurance.arkansas.gov/NPILookup?Npi=1194764290","1194764290")</f>
        <v>1194764290</v>
      </c>
      <c r="E2291" t="s">
        <v>1741</v>
      </c>
      <c r="F2291" t="s">
        <v>12</v>
      </c>
      <c r="G2291" s="20">
        <v>1</v>
      </c>
      <c r="H2291" t="s">
        <v>4349</v>
      </c>
      <c r="I2291" t="s">
        <v>32</v>
      </c>
      <c r="J2291" s="9"/>
      <c r="K2291" s="9"/>
      <c r="L2291" s="9"/>
    </row>
    <row r="2292" spans="2:12" ht="15" x14ac:dyDescent="0.25">
      <c r="B2292" t="s">
        <v>2102</v>
      </c>
      <c r="C2292" t="s">
        <v>2103</v>
      </c>
      <c r="D2292" t="str">
        <f>HYPERLINK("https://rhld.insurance.arkansas.gov/NPILookup?Npi=1194774646","1194774646")</f>
        <v>1194774646</v>
      </c>
      <c r="E2292" t="s">
        <v>2363</v>
      </c>
      <c r="F2292" t="s">
        <v>12</v>
      </c>
      <c r="G2292" s="20">
        <v>1</v>
      </c>
      <c r="H2292" t="s">
        <v>141</v>
      </c>
      <c r="I2292" t="s">
        <v>32</v>
      </c>
      <c r="J2292" s="9"/>
      <c r="K2292" s="9"/>
      <c r="L2292" s="9"/>
    </row>
    <row r="2293" spans="2:12" ht="15" x14ac:dyDescent="0.25">
      <c r="B2293" t="s">
        <v>2102</v>
      </c>
      <c r="C2293" t="s">
        <v>2103</v>
      </c>
      <c r="D2293" t="str">
        <f>HYPERLINK("https://rhld.insurance.arkansas.gov/NPILookup?Npi=1194811323","1194811323")</f>
        <v>1194811323</v>
      </c>
      <c r="E2293" t="s">
        <v>2364</v>
      </c>
      <c r="F2293" t="s">
        <v>12</v>
      </c>
      <c r="G2293" s="20">
        <v>1</v>
      </c>
      <c r="H2293" t="s">
        <v>139</v>
      </c>
      <c r="I2293" t="s">
        <v>32</v>
      </c>
      <c r="J2293" s="9"/>
      <c r="K2293" s="9"/>
      <c r="L2293" s="9"/>
    </row>
    <row r="2294" spans="2:12" ht="15" x14ac:dyDescent="0.25">
      <c r="B2294" t="s">
        <v>2102</v>
      </c>
      <c r="C2294" t="s">
        <v>2103</v>
      </c>
      <c r="D2294" t="str">
        <f>HYPERLINK("https://rhld.insurance.arkansas.gov/NPILookup?Npi=1194895490","1194895490")</f>
        <v>1194895490</v>
      </c>
      <c r="E2294" t="s">
        <v>2365</v>
      </c>
      <c r="F2294" t="s">
        <v>12</v>
      </c>
      <c r="G2294" s="20">
        <v>1</v>
      </c>
      <c r="H2294" t="s">
        <v>4338</v>
      </c>
      <c r="I2294" t="s">
        <v>32</v>
      </c>
      <c r="J2294" s="9"/>
      <c r="K2294" s="9"/>
      <c r="L2294" s="9"/>
    </row>
    <row r="2295" spans="2:12" ht="15" x14ac:dyDescent="0.25">
      <c r="B2295" t="s">
        <v>2102</v>
      </c>
      <c r="C2295" t="s">
        <v>2103</v>
      </c>
      <c r="D2295" t="str">
        <f>HYPERLINK("https://rhld.insurance.arkansas.gov/NPILookup?Npi=1205084597","1205084597")</f>
        <v>1205084597</v>
      </c>
      <c r="E2295" t="s">
        <v>2366</v>
      </c>
      <c r="F2295" t="s">
        <v>12</v>
      </c>
      <c r="G2295" s="20">
        <v>1</v>
      </c>
      <c r="H2295" t="s">
        <v>139</v>
      </c>
      <c r="I2295" t="s">
        <v>32</v>
      </c>
      <c r="J2295" s="9"/>
      <c r="K2295" s="9"/>
      <c r="L2295" s="9"/>
    </row>
    <row r="2296" spans="2:12" ht="15" x14ac:dyDescent="0.25">
      <c r="B2296" t="s">
        <v>2102</v>
      </c>
      <c r="C2296" t="s">
        <v>2103</v>
      </c>
      <c r="D2296" t="str">
        <f>HYPERLINK("https://rhld.insurance.arkansas.gov/NPILookup?Npi=1205093283","1205093283")</f>
        <v>1205093283</v>
      </c>
      <c r="E2296" t="s">
        <v>4502</v>
      </c>
      <c r="F2296" t="s">
        <v>12</v>
      </c>
      <c r="G2296" s="20">
        <v>1</v>
      </c>
      <c r="H2296" t="s">
        <v>4349</v>
      </c>
      <c r="I2296" t="s">
        <v>32</v>
      </c>
      <c r="J2296" s="9"/>
      <c r="K2296" s="9"/>
      <c r="L2296" s="9"/>
    </row>
    <row r="2297" spans="2:12" ht="15" x14ac:dyDescent="0.25">
      <c r="B2297" t="s">
        <v>2102</v>
      </c>
      <c r="C2297" t="s">
        <v>2103</v>
      </c>
      <c r="D2297" t="str">
        <f>HYPERLINK("https://rhld.insurance.arkansas.gov/NPILookup?Npi=1205118858","1205118858")</f>
        <v>1205118858</v>
      </c>
      <c r="E2297" t="s">
        <v>2368</v>
      </c>
      <c r="F2297" t="s">
        <v>13</v>
      </c>
      <c r="G2297" s="20">
        <v>1</v>
      </c>
      <c r="H2297" t="s">
        <v>4357</v>
      </c>
      <c r="I2297" t="s">
        <v>4357</v>
      </c>
      <c r="J2297" s="9"/>
      <c r="K2297" s="9"/>
      <c r="L2297" s="9"/>
    </row>
    <row r="2298" spans="2:12" ht="15" x14ac:dyDescent="0.25">
      <c r="B2298" t="s">
        <v>2102</v>
      </c>
      <c r="C2298" t="s">
        <v>2103</v>
      </c>
      <c r="D2298" t="str">
        <f>HYPERLINK("https://rhld.insurance.arkansas.gov/NPILookup?Npi=1205177060","1205177060")</f>
        <v>1205177060</v>
      </c>
      <c r="E2298" t="s">
        <v>2369</v>
      </c>
      <c r="F2298" t="s">
        <v>12</v>
      </c>
      <c r="G2298" s="20">
        <v>1</v>
      </c>
      <c r="H2298" t="s">
        <v>4338</v>
      </c>
      <c r="I2298" t="s">
        <v>32</v>
      </c>
      <c r="J2298" s="9"/>
      <c r="K2298" s="9"/>
      <c r="L2298" s="9"/>
    </row>
    <row r="2299" spans="2:12" ht="15" x14ac:dyDescent="0.25">
      <c r="B2299" t="s">
        <v>2102</v>
      </c>
      <c r="C2299" t="s">
        <v>2103</v>
      </c>
      <c r="D2299" t="str">
        <f>HYPERLINK("https://rhld.insurance.arkansas.gov/NPILookup?Npi=1205250693","1205250693")</f>
        <v>1205250693</v>
      </c>
      <c r="E2299" t="s">
        <v>2370</v>
      </c>
      <c r="F2299" t="s">
        <v>12</v>
      </c>
      <c r="G2299" s="20">
        <v>1</v>
      </c>
      <c r="H2299" t="s">
        <v>4338</v>
      </c>
      <c r="I2299" t="s">
        <v>32</v>
      </c>
      <c r="J2299" s="9"/>
      <c r="K2299" s="9"/>
      <c r="L2299" s="9"/>
    </row>
    <row r="2300" spans="2:12" ht="15" x14ac:dyDescent="0.25">
      <c r="B2300" t="s">
        <v>2102</v>
      </c>
      <c r="C2300" t="s">
        <v>2103</v>
      </c>
      <c r="D2300" t="str">
        <f>HYPERLINK("https://rhld.insurance.arkansas.gov/NPILookup?Npi=1205305307","1205305307")</f>
        <v>1205305307</v>
      </c>
      <c r="E2300" t="s">
        <v>2371</v>
      </c>
      <c r="F2300" t="s">
        <v>13</v>
      </c>
      <c r="G2300" s="20">
        <v>2</v>
      </c>
      <c r="H2300" t="s">
        <v>439</v>
      </c>
      <c r="I2300" t="s">
        <v>4357</v>
      </c>
      <c r="J2300" s="9"/>
      <c r="K2300" s="9"/>
      <c r="L2300" s="9"/>
    </row>
    <row r="2301" spans="2:12" ht="15" x14ac:dyDescent="0.25">
      <c r="B2301" t="s">
        <v>2102</v>
      </c>
      <c r="C2301" t="s">
        <v>2103</v>
      </c>
      <c r="D2301" t="str">
        <f>HYPERLINK("https://rhld.insurance.arkansas.gov/NPILookup?Npi=1205359510","1205359510")</f>
        <v>1205359510</v>
      </c>
      <c r="E2301" t="s">
        <v>2372</v>
      </c>
      <c r="F2301" t="s">
        <v>12</v>
      </c>
      <c r="G2301" s="20">
        <v>1</v>
      </c>
      <c r="H2301" t="s">
        <v>4338</v>
      </c>
      <c r="I2301" t="s">
        <v>32</v>
      </c>
      <c r="J2301" s="9"/>
      <c r="K2301" s="9"/>
      <c r="L2301" s="9"/>
    </row>
    <row r="2302" spans="2:12" ht="15" x14ac:dyDescent="0.25">
      <c r="B2302" t="s">
        <v>2102</v>
      </c>
      <c r="C2302" t="s">
        <v>2103</v>
      </c>
      <c r="D2302" t="str">
        <f>HYPERLINK("https://rhld.insurance.arkansas.gov/NPILookup?Npi=1205646296","1205646296")</f>
        <v>1205646296</v>
      </c>
      <c r="E2302" t="s">
        <v>2373</v>
      </c>
      <c r="F2302" t="s">
        <v>13</v>
      </c>
      <c r="G2302" s="20">
        <v>1</v>
      </c>
      <c r="H2302" t="s">
        <v>4357</v>
      </c>
      <c r="I2302" t="s">
        <v>4357</v>
      </c>
      <c r="J2302" s="9"/>
      <c r="K2302" s="9"/>
      <c r="L2302" s="9"/>
    </row>
    <row r="2303" spans="2:12" ht="15" x14ac:dyDescent="0.25">
      <c r="B2303" t="s">
        <v>2102</v>
      </c>
      <c r="C2303" t="s">
        <v>2103</v>
      </c>
      <c r="D2303" t="str">
        <f>HYPERLINK("https://rhld.insurance.arkansas.gov/NPILookup?Npi=1205850682","1205850682")</f>
        <v>1205850682</v>
      </c>
      <c r="E2303" t="s">
        <v>4503</v>
      </c>
      <c r="F2303" t="s">
        <v>12</v>
      </c>
      <c r="G2303" s="20">
        <v>1</v>
      </c>
      <c r="H2303" t="s">
        <v>4349</v>
      </c>
      <c r="I2303" t="s">
        <v>32</v>
      </c>
      <c r="J2303" s="9"/>
      <c r="K2303" s="9"/>
      <c r="L2303" s="9"/>
    </row>
    <row r="2304" spans="2:12" ht="15" x14ac:dyDescent="0.25">
      <c r="B2304" t="s">
        <v>2102</v>
      </c>
      <c r="C2304" t="s">
        <v>2103</v>
      </c>
      <c r="D2304" t="str">
        <f>HYPERLINK("https://rhld.insurance.arkansas.gov/NPILookup?Npi=1205897857","1205897857")</f>
        <v>1205897857</v>
      </c>
      <c r="E2304" t="s">
        <v>2376</v>
      </c>
      <c r="F2304" t="s">
        <v>12</v>
      </c>
      <c r="G2304" s="20">
        <v>1</v>
      </c>
      <c r="H2304" t="s">
        <v>4349</v>
      </c>
      <c r="I2304" t="s">
        <v>4357</v>
      </c>
      <c r="J2304" s="9"/>
      <c r="K2304" s="9"/>
      <c r="L2304" s="9"/>
    </row>
    <row r="2305" spans="2:12" ht="15" x14ac:dyDescent="0.25">
      <c r="B2305" t="s">
        <v>2102</v>
      </c>
      <c r="C2305" t="s">
        <v>2103</v>
      </c>
      <c r="D2305" t="str">
        <f>HYPERLINK("https://rhld.insurance.arkansas.gov/NPILookup?Npi=1205911849","1205911849")</f>
        <v>1205911849</v>
      </c>
      <c r="E2305" t="s">
        <v>2377</v>
      </c>
      <c r="F2305" t="s">
        <v>12</v>
      </c>
      <c r="G2305" s="20">
        <v>1</v>
      </c>
      <c r="H2305" t="s">
        <v>4349</v>
      </c>
      <c r="I2305" t="s">
        <v>32</v>
      </c>
      <c r="J2305" s="9"/>
      <c r="K2305" s="9"/>
      <c r="L2305" s="9"/>
    </row>
    <row r="2306" spans="2:12" ht="15" x14ac:dyDescent="0.25">
      <c r="B2306" t="s">
        <v>2102</v>
      </c>
      <c r="C2306" t="s">
        <v>2103</v>
      </c>
      <c r="D2306" t="str">
        <f>HYPERLINK("https://rhld.insurance.arkansas.gov/NPILookup?Npi=1215087515","1215087515")</f>
        <v>1215087515</v>
      </c>
      <c r="E2306" t="s">
        <v>2378</v>
      </c>
      <c r="F2306" t="s">
        <v>12</v>
      </c>
      <c r="G2306" s="20">
        <v>1</v>
      </c>
      <c r="H2306" t="s">
        <v>4349</v>
      </c>
      <c r="I2306" t="s">
        <v>4357</v>
      </c>
      <c r="J2306" s="9"/>
      <c r="K2306" s="9"/>
      <c r="L2306" s="9"/>
    </row>
    <row r="2307" spans="2:12" ht="15" x14ac:dyDescent="0.25">
      <c r="B2307" t="s">
        <v>2102</v>
      </c>
      <c r="C2307" t="s">
        <v>2103</v>
      </c>
      <c r="D2307" t="str">
        <f>HYPERLINK("https://rhld.insurance.arkansas.gov/NPILookup?Npi=1215113154","1215113154")</f>
        <v>1215113154</v>
      </c>
      <c r="E2307" t="s">
        <v>4504</v>
      </c>
      <c r="F2307" t="s">
        <v>12</v>
      </c>
      <c r="G2307" s="20">
        <v>1</v>
      </c>
      <c r="H2307" t="s">
        <v>4349</v>
      </c>
      <c r="I2307" t="s">
        <v>32</v>
      </c>
      <c r="J2307" s="9"/>
      <c r="K2307" s="9"/>
      <c r="L2307" s="9"/>
    </row>
    <row r="2308" spans="2:12" ht="15" x14ac:dyDescent="0.25">
      <c r="B2308" t="s">
        <v>2102</v>
      </c>
      <c r="C2308" t="s">
        <v>2103</v>
      </c>
      <c r="D2308" t="str">
        <f>HYPERLINK("https://rhld.insurance.arkansas.gov/NPILookup?Npi=1215196233","1215196233")</f>
        <v>1215196233</v>
      </c>
      <c r="E2308" t="s">
        <v>4505</v>
      </c>
      <c r="F2308" t="s">
        <v>12</v>
      </c>
      <c r="G2308" s="20">
        <v>1</v>
      </c>
      <c r="H2308" t="s">
        <v>4349</v>
      </c>
      <c r="I2308" t="s">
        <v>32</v>
      </c>
      <c r="J2308" s="9"/>
      <c r="K2308" s="9"/>
      <c r="L2308" s="9"/>
    </row>
    <row r="2309" spans="2:12" ht="15" x14ac:dyDescent="0.25">
      <c r="B2309" t="s">
        <v>2102</v>
      </c>
      <c r="C2309" t="s">
        <v>2103</v>
      </c>
      <c r="D2309" t="str">
        <f>HYPERLINK("https://rhld.insurance.arkansas.gov/NPILookup?Npi=1215212089","1215212089")</f>
        <v>1215212089</v>
      </c>
      <c r="E2309" t="s">
        <v>2379</v>
      </c>
      <c r="F2309" t="s">
        <v>12</v>
      </c>
      <c r="G2309" s="20">
        <v>1</v>
      </c>
      <c r="H2309" t="s">
        <v>4338</v>
      </c>
      <c r="I2309" t="s">
        <v>32</v>
      </c>
      <c r="J2309" s="9"/>
      <c r="K2309" s="9"/>
      <c r="L2309" s="9"/>
    </row>
    <row r="2310" spans="2:12" ht="15" x14ac:dyDescent="0.25">
      <c r="B2310" t="s">
        <v>2102</v>
      </c>
      <c r="C2310" t="s">
        <v>2103</v>
      </c>
      <c r="D2310" t="str">
        <f>HYPERLINK("https://rhld.insurance.arkansas.gov/NPILookup?Npi=1215239553","1215239553")</f>
        <v>1215239553</v>
      </c>
      <c r="E2310" t="s">
        <v>2380</v>
      </c>
      <c r="F2310" t="s">
        <v>12</v>
      </c>
      <c r="G2310" s="20">
        <v>1</v>
      </c>
      <c r="H2310" t="s">
        <v>4349</v>
      </c>
      <c r="I2310" t="s">
        <v>32</v>
      </c>
      <c r="J2310" s="9"/>
      <c r="K2310" s="9"/>
      <c r="L2310" s="9"/>
    </row>
    <row r="2311" spans="2:12" ht="15" x14ac:dyDescent="0.25">
      <c r="B2311" t="s">
        <v>2102</v>
      </c>
      <c r="C2311" t="s">
        <v>2103</v>
      </c>
      <c r="D2311" t="str">
        <f>HYPERLINK("https://rhld.insurance.arkansas.gov/NPILookup?Npi=1215241153","1215241153")</f>
        <v>1215241153</v>
      </c>
      <c r="E2311" t="s">
        <v>2381</v>
      </c>
      <c r="F2311" t="s">
        <v>13</v>
      </c>
      <c r="G2311" s="20">
        <v>1</v>
      </c>
      <c r="H2311" t="s">
        <v>87</v>
      </c>
      <c r="I2311" t="s">
        <v>4357</v>
      </c>
      <c r="J2311" s="9"/>
      <c r="K2311" s="9"/>
      <c r="L2311" s="9"/>
    </row>
    <row r="2312" spans="2:12" ht="15" x14ac:dyDescent="0.25">
      <c r="B2312" t="s">
        <v>2102</v>
      </c>
      <c r="C2312" t="s">
        <v>2103</v>
      </c>
      <c r="D2312" t="str">
        <f>HYPERLINK("https://rhld.insurance.arkansas.gov/NPILookup?Npi=1215276977","1215276977")</f>
        <v>1215276977</v>
      </c>
      <c r="E2312" t="s">
        <v>1703</v>
      </c>
      <c r="F2312" t="s">
        <v>13</v>
      </c>
      <c r="G2312" s="20">
        <v>1</v>
      </c>
      <c r="H2312" t="s">
        <v>4357</v>
      </c>
      <c r="I2312" t="s">
        <v>4357</v>
      </c>
      <c r="J2312" s="9"/>
      <c r="K2312" s="9"/>
      <c r="L2312" s="9"/>
    </row>
    <row r="2313" spans="2:12" ht="15" x14ac:dyDescent="0.25">
      <c r="B2313" t="s">
        <v>2102</v>
      </c>
      <c r="C2313" t="s">
        <v>2103</v>
      </c>
      <c r="D2313" t="str">
        <f>HYPERLINK("https://rhld.insurance.arkansas.gov/NPILookup?Npi=1215498332","1215498332")</f>
        <v>1215498332</v>
      </c>
      <c r="E2313" t="s">
        <v>2383</v>
      </c>
      <c r="F2313" t="s">
        <v>12</v>
      </c>
      <c r="G2313" s="20">
        <v>1</v>
      </c>
      <c r="H2313" t="s">
        <v>139</v>
      </c>
      <c r="I2313" t="s">
        <v>32</v>
      </c>
      <c r="J2313" s="9"/>
      <c r="K2313" s="9"/>
      <c r="L2313" s="9"/>
    </row>
    <row r="2314" spans="2:12" ht="15" x14ac:dyDescent="0.25">
      <c r="B2314" t="s">
        <v>2102</v>
      </c>
      <c r="C2314" t="s">
        <v>2103</v>
      </c>
      <c r="D2314" t="str">
        <f>HYPERLINK("https://rhld.insurance.arkansas.gov/NPILookup?Npi=1215498399","1215498399")</f>
        <v>1215498399</v>
      </c>
      <c r="E2314" t="s">
        <v>2384</v>
      </c>
      <c r="F2314" t="s">
        <v>12</v>
      </c>
      <c r="G2314" s="20">
        <v>1</v>
      </c>
      <c r="H2314" t="s">
        <v>139</v>
      </c>
      <c r="I2314" t="s">
        <v>32</v>
      </c>
      <c r="J2314" s="9"/>
      <c r="K2314" s="9"/>
      <c r="L2314" s="9"/>
    </row>
    <row r="2315" spans="2:12" ht="15" x14ac:dyDescent="0.25">
      <c r="B2315" t="s">
        <v>2102</v>
      </c>
      <c r="C2315" t="s">
        <v>2103</v>
      </c>
      <c r="D2315" t="str">
        <f>HYPERLINK("https://rhld.insurance.arkansas.gov/NPILookup?Npi=1215507363","1215507363")</f>
        <v>1215507363</v>
      </c>
      <c r="E2315" t="s">
        <v>2385</v>
      </c>
      <c r="F2315" t="s">
        <v>13</v>
      </c>
      <c r="G2315" s="20">
        <v>1</v>
      </c>
      <c r="H2315" t="s">
        <v>4357</v>
      </c>
      <c r="I2315" t="s">
        <v>4357</v>
      </c>
      <c r="J2315" s="9"/>
      <c r="K2315" s="9"/>
      <c r="L2315" s="9"/>
    </row>
    <row r="2316" spans="2:12" ht="15" x14ac:dyDescent="0.25">
      <c r="B2316" t="s">
        <v>2102</v>
      </c>
      <c r="C2316" t="s">
        <v>2103</v>
      </c>
      <c r="D2316" t="str">
        <f>HYPERLINK("https://rhld.insurance.arkansas.gov/NPILookup?Npi=1215562459","1215562459")</f>
        <v>1215562459</v>
      </c>
      <c r="E2316" t="s">
        <v>2386</v>
      </c>
      <c r="F2316" t="s">
        <v>12</v>
      </c>
      <c r="G2316" s="20">
        <v>1</v>
      </c>
      <c r="H2316" t="s">
        <v>4338</v>
      </c>
      <c r="I2316" t="s">
        <v>32</v>
      </c>
      <c r="J2316" s="9"/>
      <c r="K2316" s="9"/>
      <c r="L2316" s="9"/>
    </row>
    <row r="2317" spans="2:12" ht="15" x14ac:dyDescent="0.25">
      <c r="B2317" t="s">
        <v>2102</v>
      </c>
      <c r="C2317" t="s">
        <v>2103</v>
      </c>
      <c r="D2317" t="str">
        <f>HYPERLINK("https://rhld.insurance.arkansas.gov/NPILookup?Npi=1215564315","1215564315")</f>
        <v>1215564315</v>
      </c>
      <c r="E2317" t="s">
        <v>2387</v>
      </c>
      <c r="F2317" t="s">
        <v>12</v>
      </c>
      <c r="G2317" s="20">
        <v>1</v>
      </c>
      <c r="H2317" t="s">
        <v>139</v>
      </c>
      <c r="I2317" t="s">
        <v>32</v>
      </c>
      <c r="J2317" s="9"/>
      <c r="K2317" s="9"/>
      <c r="L2317" s="9"/>
    </row>
    <row r="2318" spans="2:12" ht="15" x14ac:dyDescent="0.25">
      <c r="B2318" t="s">
        <v>2102</v>
      </c>
      <c r="C2318" t="s">
        <v>2103</v>
      </c>
      <c r="D2318" t="str">
        <f>HYPERLINK("https://rhld.insurance.arkansas.gov/NPILookup?Npi=1215649132","1215649132")</f>
        <v>1215649132</v>
      </c>
      <c r="E2318" t="s">
        <v>2388</v>
      </c>
      <c r="F2318" t="s">
        <v>13</v>
      </c>
      <c r="G2318" s="20">
        <v>1</v>
      </c>
      <c r="H2318" t="s">
        <v>87</v>
      </c>
      <c r="I2318" t="s">
        <v>4357</v>
      </c>
      <c r="J2318" s="9"/>
      <c r="K2318" s="9"/>
      <c r="L2318" s="9"/>
    </row>
    <row r="2319" spans="2:12" ht="15" x14ac:dyDescent="0.25">
      <c r="B2319" t="s">
        <v>2102</v>
      </c>
      <c r="C2319" t="s">
        <v>2103</v>
      </c>
      <c r="D2319" t="str">
        <f>HYPERLINK("https://rhld.insurance.arkansas.gov/NPILookup?Npi=1215687637","1215687637")</f>
        <v>1215687637</v>
      </c>
      <c r="E2319" t="s">
        <v>2389</v>
      </c>
      <c r="F2319" t="s">
        <v>12</v>
      </c>
      <c r="G2319" s="20">
        <v>1</v>
      </c>
      <c r="H2319" t="s">
        <v>4338</v>
      </c>
      <c r="I2319" t="s">
        <v>32</v>
      </c>
      <c r="J2319" s="9"/>
      <c r="K2319" s="9"/>
      <c r="L2319" s="9"/>
    </row>
    <row r="2320" spans="2:12" ht="15" x14ac:dyDescent="0.25">
      <c r="B2320" t="s">
        <v>2102</v>
      </c>
      <c r="C2320" t="s">
        <v>2103</v>
      </c>
      <c r="D2320" t="str">
        <f>HYPERLINK("https://rhld.insurance.arkansas.gov/NPILookup?Npi=1215922661","1215922661")</f>
        <v>1215922661</v>
      </c>
      <c r="E2320" t="s">
        <v>2390</v>
      </c>
      <c r="F2320" t="s">
        <v>12</v>
      </c>
      <c r="G2320" s="20">
        <v>1</v>
      </c>
      <c r="H2320" t="s">
        <v>4349</v>
      </c>
      <c r="I2320" t="s">
        <v>32</v>
      </c>
      <c r="J2320" s="9"/>
      <c r="K2320" s="9"/>
      <c r="L2320" s="9"/>
    </row>
    <row r="2321" spans="2:12" ht="15" x14ac:dyDescent="0.25">
      <c r="B2321" t="s">
        <v>2102</v>
      </c>
      <c r="C2321" t="s">
        <v>2103</v>
      </c>
      <c r="D2321" t="str">
        <f>HYPERLINK("https://rhld.insurance.arkansas.gov/NPILookup?Npi=1215939269","1215939269")</f>
        <v>1215939269</v>
      </c>
      <c r="E2321" t="s">
        <v>2391</v>
      </c>
      <c r="F2321" t="s">
        <v>12</v>
      </c>
      <c r="G2321" s="20">
        <v>1</v>
      </c>
      <c r="H2321" t="s">
        <v>4338</v>
      </c>
      <c r="I2321" t="s">
        <v>4357</v>
      </c>
      <c r="J2321" s="9"/>
      <c r="K2321" s="9"/>
      <c r="L2321" s="9"/>
    </row>
    <row r="2322" spans="2:12" ht="15" x14ac:dyDescent="0.25">
      <c r="B2322" t="s">
        <v>2102</v>
      </c>
      <c r="C2322" t="s">
        <v>2103</v>
      </c>
      <c r="D2322" t="str">
        <f>HYPERLINK("https://rhld.insurance.arkansas.gov/NPILookup?Npi=1225022320","1225022320")</f>
        <v>1225022320</v>
      </c>
      <c r="E2322" t="s">
        <v>2392</v>
      </c>
      <c r="F2322" t="s">
        <v>12</v>
      </c>
      <c r="G2322" s="20">
        <v>1</v>
      </c>
      <c r="H2322" t="s">
        <v>4349</v>
      </c>
      <c r="I2322" t="s">
        <v>4357</v>
      </c>
      <c r="J2322" s="9"/>
      <c r="K2322" s="9"/>
      <c r="L2322" s="9"/>
    </row>
    <row r="2323" spans="2:12" ht="15" x14ac:dyDescent="0.25">
      <c r="B2323" t="s">
        <v>2102</v>
      </c>
      <c r="C2323" t="s">
        <v>2103</v>
      </c>
      <c r="D2323" t="str">
        <f>HYPERLINK("https://rhld.insurance.arkansas.gov/NPILookup?Npi=1225047053","1225047053")</f>
        <v>1225047053</v>
      </c>
      <c r="E2323" t="s">
        <v>2394</v>
      </c>
      <c r="F2323" t="s">
        <v>12</v>
      </c>
      <c r="G2323" s="20">
        <v>1</v>
      </c>
      <c r="H2323" t="s">
        <v>4349</v>
      </c>
      <c r="I2323" t="s">
        <v>4357</v>
      </c>
      <c r="J2323" s="9"/>
      <c r="K2323" s="9"/>
      <c r="L2323" s="9"/>
    </row>
    <row r="2324" spans="2:12" ht="15" x14ac:dyDescent="0.25">
      <c r="B2324" t="s">
        <v>2102</v>
      </c>
      <c r="C2324" t="s">
        <v>2103</v>
      </c>
      <c r="D2324" t="str">
        <f>HYPERLINK("https://rhld.insurance.arkansas.gov/NPILookup?Npi=1225079189","1225079189")</f>
        <v>1225079189</v>
      </c>
      <c r="E2324" t="s">
        <v>2395</v>
      </c>
      <c r="F2324" t="s">
        <v>13</v>
      </c>
      <c r="G2324" s="20">
        <v>1</v>
      </c>
      <c r="H2324" t="s">
        <v>87</v>
      </c>
      <c r="I2324" t="s">
        <v>32</v>
      </c>
      <c r="J2324" s="9"/>
      <c r="K2324" s="9"/>
      <c r="L2324" s="9"/>
    </row>
    <row r="2325" spans="2:12" ht="15" x14ac:dyDescent="0.25">
      <c r="B2325" t="s">
        <v>2102</v>
      </c>
      <c r="C2325" t="s">
        <v>2103</v>
      </c>
      <c r="D2325" t="str">
        <f>HYPERLINK("https://rhld.insurance.arkansas.gov/NPILookup?Npi=1225097041","1225097041")</f>
        <v>1225097041</v>
      </c>
      <c r="E2325" t="s">
        <v>2396</v>
      </c>
      <c r="F2325" t="s">
        <v>12</v>
      </c>
      <c r="G2325" s="20">
        <v>1</v>
      </c>
      <c r="H2325" t="s">
        <v>4349</v>
      </c>
      <c r="I2325" t="s">
        <v>32</v>
      </c>
      <c r="J2325" s="9"/>
      <c r="K2325" s="9"/>
      <c r="L2325" s="9"/>
    </row>
    <row r="2326" spans="2:12" ht="15" x14ac:dyDescent="0.25">
      <c r="B2326" t="s">
        <v>2102</v>
      </c>
      <c r="C2326" t="s">
        <v>2103</v>
      </c>
      <c r="D2326" t="str">
        <f>HYPERLINK("https://rhld.insurance.arkansas.gov/NPILookup?Npi=1225126626","1225126626")</f>
        <v>1225126626</v>
      </c>
      <c r="E2326" t="s">
        <v>4506</v>
      </c>
      <c r="F2326" t="s">
        <v>12</v>
      </c>
      <c r="G2326" s="20">
        <v>1</v>
      </c>
      <c r="H2326" t="s">
        <v>4349</v>
      </c>
      <c r="I2326" t="s">
        <v>32</v>
      </c>
      <c r="J2326" s="9"/>
      <c r="K2326" s="9"/>
      <c r="L2326" s="9"/>
    </row>
    <row r="2327" spans="2:12" ht="15" x14ac:dyDescent="0.25">
      <c r="B2327" t="s">
        <v>2102</v>
      </c>
      <c r="C2327" t="s">
        <v>2103</v>
      </c>
      <c r="D2327" t="str">
        <f>HYPERLINK("https://rhld.insurance.arkansas.gov/NPILookup?Npi=1225261282","1225261282")</f>
        <v>1225261282</v>
      </c>
      <c r="E2327" t="s">
        <v>2397</v>
      </c>
      <c r="F2327" t="s">
        <v>12</v>
      </c>
      <c r="G2327" s="20">
        <v>1</v>
      </c>
      <c r="H2327" t="s">
        <v>4338</v>
      </c>
      <c r="I2327" t="s">
        <v>32</v>
      </c>
      <c r="J2327" s="9"/>
      <c r="K2327" s="9"/>
      <c r="L2327" s="9"/>
    </row>
    <row r="2328" spans="2:12" ht="15" x14ac:dyDescent="0.25">
      <c r="B2328" t="s">
        <v>2102</v>
      </c>
      <c r="C2328" t="s">
        <v>2103</v>
      </c>
      <c r="D2328" t="str">
        <f>HYPERLINK("https://rhld.insurance.arkansas.gov/NPILookup?Npi=1225304801","1225304801")</f>
        <v>1225304801</v>
      </c>
      <c r="E2328" t="s">
        <v>2398</v>
      </c>
      <c r="F2328" t="s">
        <v>13</v>
      </c>
      <c r="G2328" s="20">
        <v>1</v>
      </c>
      <c r="H2328" t="s">
        <v>87</v>
      </c>
      <c r="I2328" t="s">
        <v>32</v>
      </c>
      <c r="J2328" s="9"/>
      <c r="K2328" s="9"/>
      <c r="L2328" s="9"/>
    </row>
    <row r="2329" spans="2:12" ht="15" x14ac:dyDescent="0.25">
      <c r="B2329" t="s">
        <v>2102</v>
      </c>
      <c r="C2329" t="s">
        <v>2103</v>
      </c>
      <c r="D2329" t="str">
        <f>HYPERLINK("https://rhld.insurance.arkansas.gov/NPILookup?Npi=1225339385","1225339385")</f>
        <v>1225339385</v>
      </c>
      <c r="E2329" t="s">
        <v>2399</v>
      </c>
      <c r="F2329" t="s">
        <v>13</v>
      </c>
      <c r="G2329" s="20">
        <v>1</v>
      </c>
      <c r="H2329" t="s">
        <v>87</v>
      </c>
      <c r="I2329" t="s">
        <v>32</v>
      </c>
      <c r="J2329" s="9"/>
      <c r="K2329" s="9"/>
      <c r="L2329" s="9"/>
    </row>
    <row r="2330" spans="2:12" ht="15" x14ac:dyDescent="0.25">
      <c r="B2330" t="s">
        <v>2102</v>
      </c>
      <c r="C2330" t="s">
        <v>2103</v>
      </c>
      <c r="D2330" t="str">
        <f>HYPERLINK("https://rhld.insurance.arkansas.gov/NPILookup?Npi=1225341050","1225341050")</f>
        <v>1225341050</v>
      </c>
      <c r="E2330" t="s">
        <v>4507</v>
      </c>
      <c r="F2330" t="s">
        <v>12</v>
      </c>
      <c r="G2330" s="20">
        <v>1</v>
      </c>
      <c r="H2330" t="s">
        <v>4349</v>
      </c>
      <c r="I2330" t="s">
        <v>4357</v>
      </c>
      <c r="J2330" s="9"/>
      <c r="K2330" s="9"/>
      <c r="L2330" s="9"/>
    </row>
    <row r="2331" spans="2:12" ht="15" x14ac:dyDescent="0.25">
      <c r="B2331" t="s">
        <v>2102</v>
      </c>
      <c r="C2331" t="s">
        <v>2103</v>
      </c>
      <c r="D2331" t="str">
        <f>HYPERLINK("https://rhld.insurance.arkansas.gov/NPILookup?Npi=1225418445","1225418445")</f>
        <v>1225418445</v>
      </c>
      <c r="E2331" t="s">
        <v>488</v>
      </c>
      <c r="F2331" t="s">
        <v>12</v>
      </c>
      <c r="G2331" s="20">
        <v>1</v>
      </c>
      <c r="H2331" t="s">
        <v>4349</v>
      </c>
      <c r="I2331" t="s">
        <v>32</v>
      </c>
      <c r="J2331" s="9"/>
      <c r="K2331" s="9"/>
      <c r="L2331" s="9"/>
    </row>
    <row r="2332" spans="2:12" ht="15" x14ac:dyDescent="0.25">
      <c r="B2332" t="s">
        <v>2102</v>
      </c>
      <c r="C2332" t="s">
        <v>2103</v>
      </c>
      <c r="D2332" t="str">
        <f>HYPERLINK("https://rhld.insurance.arkansas.gov/NPILookup?Npi=1225432917","1225432917")</f>
        <v>1225432917</v>
      </c>
      <c r="E2332" t="s">
        <v>4508</v>
      </c>
      <c r="F2332" t="s">
        <v>12</v>
      </c>
      <c r="G2332" s="20">
        <v>1</v>
      </c>
      <c r="H2332" t="s">
        <v>4349</v>
      </c>
      <c r="I2332" t="s">
        <v>32</v>
      </c>
      <c r="J2332" s="9"/>
      <c r="K2332" s="9"/>
      <c r="L2332" s="9"/>
    </row>
    <row r="2333" spans="2:12" ht="15" x14ac:dyDescent="0.25">
      <c r="B2333" t="s">
        <v>2102</v>
      </c>
      <c r="C2333" t="s">
        <v>2103</v>
      </c>
      <c r="D2333" t="str">
        <f>HYPERLINK("https://rhld.insurance.arkansas.gov/NPILookup?Npi=1225478472","1225478472")</f>
        <v>1225478472</v>
      </c>
      <c r="E2333" t="s">
        <v>2400</v>
      </c>
      <c r="F2333" t="s">
        <v>12</v>
      </c>
      <c r="G2333" s="20">
        <v>1</v>
      </c>
      <c r="H2333" t="s">
        <v>4338</v>
      </c>
      <c r="I2333" t="s">
        <v>32</v>
      </c>
      <c r="J2333" s="9"/>
      <c r="K2333" s="9"/>
      <c r="L2333" s="9"/>
    </row>
    <row r="2334" spans="2:12" ht="15" x14ac:dyDescent="0.25">
      <c r="B2334" t="s">
        <v>2102</v>
      </c>
      <c r="C2334" t="s">
        <v>2103</v>
      </c>
      <c r="D2334" t="str">
        <f>HYPERLINK("https://rhld.insurance.arkansas.gov/NPILookup?Npi=1225657125","1225657125")</f>
        <v>1225657125</v>
      </c>
      <c r="E2334" t="s">
        <v>2402</v>
      </c>
      <c r="F2334" t="s">
        <v>12</v>
      </c>
      <c r="G2334" s="20">
        <v>1</v>
      </c>
      <c r="H2334" t="s">
        <v>4349</v>
      </c>
      <c r="I2334" t="s">
        <v>32</v>
      </c>
      <c r="J2334" s="9"/>
      <c r="K2334" s="9"/>
      <c r="L2334" s="9"/>
    </row>
    <row r="2335" spans="2:12" ht="15" x14ac:dyDescent="0.25">
      <c r="B2335" t="s">
        <v>2102</v>
      </c>
      <c r="C2335" t="s">
        <v>2103</v>
      </c>
      <c r="D2335" t="str">
        <f>HYPERLINK("https://rhld.insurance.arkansas.gov/NPILookup?Npi=1225685142","1225685142")</f>
        <v>1225685142</v>
      </c>
      <c r="E2335" t="s">
        <v>2403</v>
      </c>
      <c r="F2335" t="s">
        <v>12</v>
      </c>
      <c r="G2335" s="20">
        <v>1</v>
      </c>
      <c r="H2335" t="s">
        <v>4338</v>
      </c>
      <c r="I2335" t="s">
        <v>32</v>
      </c>
      <c r="J2335" s="9"/>
      <c r="K2335" s="9"/>
      <c r="L2335" s="9"/>
    </row>
    <row r="2336" spans="2:12" ht="15" x14ac:dyDescent="0.25">
      <c r="B2336" t="s">
        <v>2102</v>
      </c>
      <c r="C2336" t="s">
        <v>2103</v>
      </c>
      <c r="D2336" t="str">
        <f>HYPERLINK("https://rhld.insurance.arkansas.gov/NPILookup?Npi=1225699325","1225699325")</f>
        <v>1225699325</v>
      </c>
      <c r="E2336" t="s">
        <v>2404</v>
      </c>
      <c r="F2336" t="s">
        <v>13</v>
      </c>
      <c r="G2336" s="20">
        <v>1</v>
      </c>
      <c r="H2336" t="s">
        <v>4357</v>
      </c>
      <c r="I2336" t="s">
        <v>4357</v>
      </c>
      <c r="J2336" s="9"/>
      <c r="K2336" s="9"/>
      <c r="L2336" s="9"/>
    </row>
    <row r="2337" spans="2:12" ht="15" x14ac:dyDescent="0.25">
      <c r="B2337" t="s">
        <v>2102</v>
      </c>
      <c r="C2337" t="s">
        <v>2103</v>
      </c>
      <c r="D2337" t="str">
        <f>HYPERLINK("https://rhld.insurance.arkansas.gov/NPILookup?Npi=1225736325","1225736325")</f>
        <v>1225736325</v>
      </c>
      <c r="E2337" t="s">
        <v>2405</v>
      </c>
      <c r="F2337" t="s">
        <v>12</v>
      </c>
      <c r="G2337" s="20">
        <v>1</v>
      </c>
      <c r="H2337" t="s">
        <v>4338</v>
      </c>
      <c r="I2337" t="s">
        <v>32</v>
      </c>
      <c r="J2337" s="9"/>
      <c r="K2337" s="9"/>
      <c r="L2337" s="9"/>
    </row>
    <row r="2338" spans="2:12" ht="15" x14ac:dyDescent="0.25">
      <c r="B2338" t="s">
        <v>2102</v>
      </c>
      <c r="C2338" t="s">
        <v>2103</v>
      </c>
      <c r="D2338" t="str">
        <f>HYPERLINK("https://rhld.insurance.arkansas.gov/NPILookup?Npi=1235187816","1235187816")</f>
        <v>1235187816</v>
      </c>
      <c r="E2338" t="s">
        <v>2406</v>
      </c>
      <c r="F2338" t="s">
        <v>12</v>
      </c>
      <c r="G2338" s="20">
        <v>1</v>
      </c>
      <c r="H2338" t="s">
        <v>4349</v>
      </c>
      <c r="I2338" t="s">
        <v>32</v>
      </c>
      <c r="J2338" s="9"/>
      <c r="K2338" s="9"/>
      <c r="L2338" s="9"/>
    </row>
    <row r="2339" spans="2:12" ht="15" x14ac:dyDescent="0.25">
      <c r="B2339" t="s">
        <v>2102</v>
      </c>
      <c r="C2339" t="s">
        <v>2103</v>
      </c>
      <c r="D2339" t="str">
        <f>HYPERLINK("https://rhld.insurance.arkansas.gov/NPILookup?Npi=1235195785","1235195785")</f>
        <v>1235195785</v>
      </c>
      <c r="E2339" t="s">
        <v>492</v>
      </c>
      <c r="F2339" t="s">
        <v>12</v>
      </c>
      <c r="G2339" s="20">
        <v>1</v>
      </c>
      <c r="H2339" t="s">
        <v>4338</v>
      </c>
      <c r="I2339" t="s">
        <v>32</v>
      </c>
      <c r="J2339" s="9"/>
      <c r="K2339" s="9"/>
      <c r="L2339" s="9"/>
    </row>
    <row r="2340" spans="2:12" ht="15" x14ac:dyDescent="0.25">
      <c r="B2340" t="s">
        <v>2102</v>
      </c>
      <c r="C2340" t="s">
        <v>2103</v>
      </c>
      <c r="D2340" t="str">
        <f>HYPERLINK("https://rhld.insurance.arkansas.gov/NPILookup?Npi=1235242298","1235242298")</f>
        <v>1235242298</v>
      </c>
      <c r="E2340" t="s">
        <v>1593</v>
      </c>
      <c r="F2340" t="s">
        <v>13</v>
      </c>
      <c r="G2340" s="20">
        <v>1</v>
      </c>
      <c r="H2340" t="s">
        <v>87</v>
      </c>
      <c r="I2340" t="s">
        <v>4357</v>
      </c>
      <c r="J2340" s="9"/>
      <c r="K2340" s="9"/>
      <c r="L2340" s="9"/>
    </row>
    <row r="2341" spans="2:12" ht="15" x14ac:dyDescent="0.25">
      <c r="B2341" t="s">
        <v>2102</v>
      </c>
      <c r="C2341" t="s">
        <v>2103</v>
      </c>
      <c r="D2341" t="str">
        <f>HYPERLINK("https://rhld.insurance.arkansas.gov/NPILookup?Npi=1235295908","1235295908")</f>
        <v>1235295908</v>
      </c>
      <c r="E2341" t="s">
        <v>4509</v>
      </c>
      <c r="F2341" t="s">
        <v>12</v>
      </c>
      <c r="G2341" s="20">
        <v>1</v>
      </c>
      <c r="H2341" t="s">
        <v>4349</v>
      </c>
      <c r="I2341" t="s">
        <v>32</v>
      </c>
      <c r="J2341" s="9"/>
      <c r="K2341" s="9"/>
      <c r="L2341" s="9"/>
    </row>
    <row r="2342" spans="2:12" ht="15" x14ac:dyDescent="0.25">
      <c r="B2342" t="s">
        <v>2102</v>
      </c>
      <c r="C2342" t="s">
        <v>2103</v>
      </c>
      <c r="D2342" t="str">
        <f>HYPERLINK("https://rhld.insurance.arkansas.gov/NPILookup?Npi=1235397308","1235397308")</f>
        <v>1235397308</v>
      </c>
      <c r="E2342" t="s">
        <v>4510</v>
      </c>
      <c r="F2342" t="s">
        <v>12</v>
      </c>
      <c r="G2342" s="20">
        <v>1</v>
      </c>
      <c r="H2342" t="s">
        <v>4349</v>
      </c>
      <c r="I2342" t="s">
        <v>32</v>
      </c>
      <c r="J2342" s="9"/>
      <c r="K2342" s="9"/>
      <c r="L2342" s="9"/>
    </row>
    <row r="2343" spans="2:12" ht="15" x14ac:dyDescent="0.25">
      <c r="B2343" t="s">
        <v>2102</v>
      </c>
      <c r="C2343" t="s">
        <v>2103</v>
      </c>
      <c r="D2343" t="str">
        <f>HYPERLINK("https://rhld.insurance.arkansas.gov/NPILookup?Npi=1235399270","1235399270")</f>
        <v>1235399270</v>
      </c>
      <c r="E2343" t="s">
        <v>2407</v>
      </c>
      <c r="F2343" t="s">
        <v>12</v>
      </c>
      <c r="G2343" s="20">
        <v>1</v>
      </c>
      <c r="H2343" t="s">
        <v>4349</v>
      </c>
      <c r="I2343" t="s">
        <v>4357</v>
      </c>
      <c r="J2343" s="9"/>
      <c r="K2343" s="9"/>
      <c r="L2343" s="9"/>
    </row>
    <row r="2344" spans="2:12" ht="15" x14ac:dyDescent="0.25">
      <c r="B2344" t="s">
        <v>2102</v>
      </c>
      <c r="C2344" t="s">
        <v>2103</v>
      </c>
      <c r="D2344" t="str">
        <f>HYPERLINK("https://rhld.insurance.arkansas.gov/NPILookup?Npi=1235472507","1235472507")</f>
        <v>1235472507</v>
      </c>
      <c r="E2344" t="s">
        <v>4511</v>
      </c>
      <c r="F2344" t="s">
        <v>12</v>
      </c>
      <c r="G2344" s="20">
        <v>1</v>
      </c>
      <c r="H2344" t="s">
        <v>4349</v>
      </c>
      <c r="I2344" t="s">
        <v>4357</v>
      </c>
      <c r="J2344" s="9"/>
      <c r="K2344" s="9"/>
      <c r="L2344" s="9"/>
    </row>
    <row r="2345" spans="2:12" ht="15" x14ac:dyDescent="0.25">
      <c r="B2345" t="s">
        <v>2102</v>
      </c>
      <c r="C2345" t="s">
        <v>2103</v>
      </c>
      <c r="D2345" t="str">
        <f>HYPERLINK("https://rhld.insurance.arkansas.gov/NPILookup?Npi=1235542739","1235542739")</f>
        <v>1235542739</v>
      </c>
      <c r="E2345" t="s">
        <v>2408</v>
      </c>
      <c r="F2345" t="s">
        <v>12</v>
      </c>
      <c r="G2345" s="20">
        <v>1</v>
      </c>
      <c r="H2345" t="s">
        <v>139</v>
      </c>
      <c r="I2345" t="s">
        <v>32</v>
      </c>
      <c r="J2345" s="9"/>
      <c r="K2345" s="9"/>
      <c r="L2345" s="9"/>
    </row>
    <row r="2346" spans="2:12" ht="15" x14ac:dyDescent="0.25">
      <c r="B2346" t="s">
        <v>2102</v>
      </c>
      <c r="C2346" t="s">
        <v>2103</v>
      </c>
      <c r="D2346" t="str">
        <f>HYPERLINK("https://rhld.insurance.arkansas.gov/NPILookup?Npi=1235583329","1235583329")</f>
        <v>1235583329</v>
      </c>
      <c r="E2346" t="s">
        <v>2409</v>
      </c>
      <c r="F2346" t="s">
        <v>12</v>
      </c>
      <c r="G2346" s="20">
        <v>1</v>
      </c>
      <c r="H2346" t="s">
        <v>4349</v>
      </c>
      <c r="I2346" t="s">
        <v>4357</v>
      </c>
      <c r="J2346" s="9"/>
      <c r="K2346" s="9"/>
      <c r="L2346" s="9"/>
    </row>
    <row r="2347" spans="2:12" ht="15" x14ac:dyDescent="0.25">
      <c r="B2347" t="s">
        <v>2102</v>
      </c>
      <c r="C2347" t="s">
        <v>2103</v>
      </c>
      <c r="D2347" t="str">
        <f>HYPERLINK("https://rhld.insurance.arkansas.gov/NPILookup?Npi=1235661307","1235661307")</f>
        <v>1235661307</v>
      </c>
      <c r="E2347" t="s">
        <v>2410</v>
      </c>
      <c r="F2347" t="s">
        <v>12</v>
      </c>
      <c r="G2347" s="20">
        <v>1</v>
      </c>
      <c r="H2347" t="s">
        <v>4349</v>
      </c>
      <c r="I2347" t="s">
        <v>32</v>
      </c>
      <c r="J2347" s="9"/>
      <c r="K2347" s="9"/>
      <c r="L2347" s="9"/>
    </row>
    <row r="2348" spans="2:12" ht="15" x14ac:dyDescent="0.25">
      <c r="B2348" t="s">
        <v>2102</v>
      </c>
      <c r="C2348" t="s">
        <v>2103</v>
      </c>
      <c r="D2348" t="str">
        <f>HYPERLINK("https://rhld.insurance.arkansas.gov/NPILookup?Npi=1235757816","1235757816")</f>
        <v>1235757816</v>
      </c>
      <c r="E2348" t="s">
        <v>2412</v>
      </c>
      <c r="F2348" t="s">
        <v>12</v>
      </c>
      <c r="G2348" s="20">
        <v>1</v>
      </c>
      <c r="H2348" t="s">
        <v>4338</v>
      </c>
      <c r="I2348" t="s">
        <v>32</v>
      </c>
      <c r="J2348" s="9"/>
      <c r="K2348" s="9"/>
      <c r="L2348" s="9"/>
    </row>
    <row r="2349" spans="2:12" ht="15" x14ac:dyDescent="0.25">
      <c r="B2349" t="s">
        <v>2102</v>
      </c>
      <c r="C2349" t="s">
        <v>2103</v>
      </c>
      <c r="D2349" t="str">
        <f>HYPERLINK("https://rhld.insurance.arkansas.gov/NPILookup?Npi=1235972969","1235972969")</f>
        <v>1235972969</v>
      </c>
      <c r="E2349" t="s">
        <v>2413</v>
      </c>
      <c r="F2349" t="s">
        <v>13</v>
      </c>
      <c r="G2349" s="20">
        <v>1</v>
      </c>
      <c r="H2349" t="s">
        <v>4357</v>
      </c>
      <c r="I2349" t="s">
        <v>4357</v>
      </c>
      <c r="J2349" s="9"/>
      <c r="K2349" s="9"/>
      <c r="L2349" s="9"/>
    </row>
    <row r="2350" spans="2:12" ht="15" x14ac:dyDescent="0.25">
      <c r="B2350" t="s">
        <v>2102</v>
      </c>
      <c r="C2350" t="s">
        <v>2103</v>
      </c>
      <c r="D2350" t="str">
        <f>HYPERLINK("https://rhld.insurance.arkansas.gov/NPILookup?Npi=1245053826","1245053826")</f>
        <v>1245053826</v>
      </c>
      <c r="E2350" t="s">
        <v>2414</v>
      </c>
      <c r="F2350" t="s">
        <v>13</v>
      </c>
      <c r="G2350" s="20">
        <v>1</v>
      </c>
      <c r="H2350" t="s">
        <v>4357</v>
      </c>
      <c r="I2350" t="s">
        <v>4357</v>
      </c>
      <c r="J2350" s="9"/>
      <c r="K2350" s="9"/>
      <c r="L2350" s="9"/>
    </row>
    <row r="2351" spans="2:12" ht="15" x14ac:dyDescent="0.25">
      <c r="B2351" t="s">
        <v>2102</v>
      </c>
      <c r="C2351" t="s">
        <v>2103</v>
      </c>
      <c r="D2351" t="str">
        <f>HYPERLINK("https://rhld.insurance.arkansas.gov/NPILookup?Npi=1245093608","1245093608")</f>
        <v>1245093608</v>
      </c>
      <c r="E2351" t="s">
        <v>2415</v>
      </c>
      <c r="F2351" t="s">
        <v>13</v>
      </c>
      <c r="G2351" s="20">
        <v>1</v>
      </c>
      <c r="H2351" t="s">
        <v>4357</v>
      </c>
      <c r="I2351" t="s">
        <v>4357</v>
      </c>
      <c r="J2351" s="9"/>
      <c r="K2351" s="9"/>
      <c r="L2351" s="9"/>
    </row>
    <row r="2352" spans="2:12" ht="15" x14ac:dyDescent="0.25">
      <c r="B2352" t="s">
        <v>2102</v>
      </c>
      <c r="C2352" t="s">
        <v>2103</v>
      </c>
      <c r="D2352" t="str">
        <f>HYPERLINK("https://rhld.insurance.arkansas.gov/NPILookup?Npi=1245224625","1245224625")</f>
        <v>1245224625</v>
      </c>
      <c r="E2352" t="s">
        <v>4512</v>
      </c>
      <c r="F2352" t="s">
        <v>12</v>
      </c>
      <c r="G2352" s="20">
        <v>1</v>
      </c>
      <c r="H2352" t="s">
        <v>4349</v>
      </c>
      <c r="I2352" t="s">
        <v>32</v>
      </c>
      <c r="J2352" s="9"/>
      <c r="K2352" s="9"/>
      <c r="L2352" s="9"/>
    </row>
    <row r="2353" spans="2:12" ht="15" x14ac:dyDescent="0.25">
      <c r="B2353" t="s">
        <v>2102</v>
      </c>
      <c r="C2353" t="s">
        <v>2103</v>
      </c>
      <c r="D2353" t="str">
        <f>HYPERLINK("https://rhld.insurance.arkansas.gov/NPILookup?Npi=1245248574","1245248574")</f>
        <v>1245248574</v>
      </c>
      <c r="E2353" t="s">
        <v>2417</v>
      </c>
      <c r="F2353" t="s">
        <v>12</v>
      </c>
      <c r="G2353" s="20">
        <v>1</v>
      </c>
      <c r="H2353" t="s">
        <v>4349</v>
      </c>
      <c r="I2353" t="s">
        <v>32</v>
      </c>
      <c r="J2353" s="9"/>
      <c r="K2353" s="9"/>
      <c r="L2353" s="9"/>
    </row>
    <row r="2354" spans="2:12" ht="15" x14ac:dyDescent="0.25">
      <c r="B2354" t="s">
        <v>2102</v>
      </c>
      <c r="C2354" t="s">
        <v>2103</v>
      </c>
      <c r="D2354" t="str">
        <f>HYPERLINK("https://rhld.insurance.arkansas.gov/NPILookup?Npi=1245289305","1245289305")</f>
        <v>1245289305</v>
      </c>
      <c r="E2354" t="s">
        <v>2418</v>
      </c>
      <c r="F2354" t="s">
        <v>12</v>
      </c>
      <c r="G2354" s="20">
        <v>1</v>
      </c>
      <c r="H2354" t="s">
        <v>4349</v>
      </c>
      <c r="I2354" t="s">
        <v>4357</v>
      </c>
      <c r="J2354" s="9"/>
      <c r="K2354" s="9"/>
      <c r="L2354" s="9"/>
    </row>
    <row r="2355" spans="2:12" ht="15" x14ac:dyDescent="0.25">
      <c r="B2355" t="s">
        <v>2102</v>
      </c>
      <c r="C2355" t="s">
        <v>2103</v>
      </c>
      <c r="D2355" t="str">
        <f>HYPERLINK("https://rhld.insurance.arkansas.gov/NPILookup?Npi=1245387737","1245387737")</f>
        <v>1245387737</v>
      </c>
      <c r="E2355" t="s">
        <v>94</v>
      </c>
      <c r="F2355" t="s">
        <v>12</v>
      </c>
      <c r="G2355" s="20">
        <v>1</v>
      </c>
      <c r="H2355" t="s">
        <v>4349</v>
      </c>
      <c r="I2355" t="s">
        <v>32</v>
      </c>
      <c r="J2355" s="9"/>
      <c r="K2355" s="9"/>
      <c r="L2355" s="9"/>
    </row>
    <row r="2356" spans="2:12" ht="15" x14ac:dyDescent="0.25">
      <c r="B2356" t="s">
        <v>2102</v>
      </c>
      <c r="C2356" t="s">
        <v>2103</v>
      </c>
      <c r="D2356" t="str">
        <f>HYPERLINK("https://rhld.insurance.arkansas.gov/NPILookup?Npi=1245434836","1245434836")</f>
        <v>1245434836</v>
      </c>
      <c r="E2356" t="s">
        <v>4513</v>
      </c>
      <c r="F2356" t="s">
        <v>12</v>
      </c>
      <c r="G2356" s="20">
        <v>1</v>
      </c>
      <c r="H2356" t="s">
        <v>4349</v>
      </c>
      <c r="I2356" t="s">
        <v>32</v>
      </c>
      <c r="J2356" s="9"/>
      <c r="K2356" s="9"/>
      <c r="L2356" s="9"/>
    </row>
    <row r="2357" spans="2:12" ht="15" x14ac:dyDescent="0.25">
      <c r="B2357" t="s">
        <v>2102</v>
      </c>
      <c r="C2357" t="s">
        <v>2103</v>
      </c>
      <c r="D2357" t="str">
        <f>HYPERLINK("https://rhld.insurance.arkansas.gov/NPILookup?Npi=1245498906","1245498906")</f>
        <v>1245498906</v>
      </c>
      <c r="E2357" t="s">
        <v>1215</v>
      </c>
      <c r="F2357" t="s">
        <v>12</v>
      </c>
      <c r="G2357" s="20">
        <v>1</v>
      </c>
      <c r="H2357" t="s">
        <v>4349</v>
      </c>
      <c r="I2357" t="s">
        <v>32</v>
      </c>
      <c r="J2357" s="9"/>
      <c r="K2357" s="9"/>
      <c r="L2357" s="9"/>
    </row>
    <row r="2358" spans="2:12" ht="15" x14ac:dyDescent="0.25">
      <c r="B2358" t="s">
        <v>2102</v>
      </c>
      <c r="C2358" t="s">
        <v>2103</v>
      </c>
      <c r="D2358" t="str">
        <f>HYPERLINK("https://rhld.insurance.arkansas.gov/NPILookup?Npi=1245506518","1245506518")</f>
        <v>1245506518</v>
      </c>
      <c r="E2358" t="s">
        <v>2419</v>
      </c>
      <c r="F2358" t="s">
        <v>12</v>
      </c>
      <c r="G2358" s="20">
        <v>1</v>
      </c>
      <c r="H2358" t="s">
        <v>4349</v>
      </c>
      <c r="I2358" t="s">
        <v>4357</v>
      </c>
      <c r="J2358" s="9"/>
      <c r="K2358" s="9"/>
      <c r="L2358" s="9"/>
    </row>
    <row r="2359" spans="2:12" ht="15" x14ac:dyDescent="0.25">
      <c r="B2359" t="s">
        <v>2102</v>
      </c>
      <c r="C2359" t="s">
        <v>2103</v>
      </c>
      <c r="D2359" t="str">
        <f>HYPERLINK("https://rhld.insurance.arkansas.gov/NPILookup?Npi=1245694751","1245694751")</f>
        <v>1245694751</v>
      </c>
      <c r="E2359" t="s">
        <v>786</v>
      </c>
      <c r="F2359" t="s">
        <v>12</v>
      </c>
      <c r="G2359" s="20">
        <v>1</v>
      </c>
      <c r="H2359" t="s">
        <v>4349</v>
      </c>
      <c r="I2359" t="s">
        <v>32</v>
      </c>
      <c r="J2359" s="9"/>
      <c r="K2359" s="9"/>
      <c r="L2359" s="9"/>
    </row>
    <row r="2360" spans="2:12" ht="15" x14ac:dyDescent="0.25">
      <c r="B2360" t="s">
        <v>2102</v>
      </c>
      <c r="C2360" t="s">
        <v>2103</v>
      </c>
      <c r="D2360" t="str">
        <f>HYPERLINK("https://rhld.insurance.arkansas.gov/NPILookup?Npi=1245712215","1245712215")</f>
        <v>1245712215</v>
      </c>
      <c r="E2360" t="s">
        <v>4514</v>
      </c>
      <c r="F2360" t="s">
        <v>12</v>
      </c>
      <c r="G2360" s="20">
        <v>1</v>
      </c>
      <c r="H2360" t="s">
        <v>4349</v>
      </c>
      <c r="I2360" t="s">
        <v>32</v>
      </c>
      <c r="J2360" s="9"/>
      <c r="K2360" s="9"/>
      <c r="L2360" s="9"/>
    </row>
    <row r="2361" spans="2:12" ht="15" x14ac:dyDescent="0.25">
      <c r="B2361" t="s">
        <v>2102</v>
      </c>
      <c r="C2361" t="s">
        <v>2103</v>
      </c>
      <c r="D2361" t="str">
        <f>HYPERLINK("https://rhld.insurance.arkansas.gov/NPILookup?Npi=1245764620","1245764620")</f>
        <v>1245764620</v>
      </c>
      <c r="E2361" t="s">
        <v>2420</v>
      </c>
      <c r="F2361" t="s">
        <v>12</v>
      </c>
      <c r="G2361" s="20">
        <v>1</v>
      </c>
      <c r="H2361" t="s">
        <v>4338</v>
      </c>
      <c r="I2361" t="s">
        <v>32</v>
      </c>
      <c r="J2361" s="9"/>
      <c r="K2361" s="9"/>
      <c r="L2361" s="9"/>
    </row>
    <row r="2362" spans="2:12" ht="15" x14ac:dyDescent="0.25">
      <c r="B2362" t="s">
        <v>2102</v>
      </c>
      <c r="C2362" t="s">
        <v>2103</v>
      </c>
      <c r="D2362" t="str">
        <f>HYPERLINK("https://rhld.insurance.arkansas.gov/NPILookup?Npi=1245799287","1245799287")</f>
        <v>1245799287</v>
      </c>
      <c r="E2362" t="s">
        <v>2421</v>
      </c>
      <c r="F2362" t="s">
        <v>13</v>
      </c>
      <c r="G2362" s="20">
        <v>1</v>
      </c>
      <c r="H2362" t="s">
        <v>4357</v>
      </c>
      <c r="I2362" t="s">
        <v>4357</v>
      </c>
      <c r="J2362" s="9"/>
      <c r="K2362" s="9"/>
      <c r="L2362" s="9"/>
    </row>
    <row r="2363" spans="2:12" ht="15" x14ac:dyDescent="0.25">
      <c r="B2363" t="s">
        <v>2102</v>
      </c>
      <c r="C2363" t="s">
        <v>2103</v>
      </c>
      <c r="D2363" t="str">
        <f>HYPERLINK("https://rhld.insurance.arkansas.gov/NPILookup?Npi=1245912898","1245912898")</f>
        <v>1245912898</v>
      </c>
      <c r="E2363" t="s">
        <v>2422</v>
      </c>
      <c r="F2363" t="s">
        <v>12</v>
      </c>
      <c r="G2363" s="20">
        <v>1</v>
      </c>
      <c r="H2363" t="s">
        <v>4338</v>
      </c>
      <c r="I2363" t="s">
        <v>32</v>
      </c>
      <c r="J2363" s="9"/>
      <c r="K2363" s="9"/>
      <c r="L2363" s="9"/>
    </row>
    <row r="2364" spans="2:12" ht="15" x14ac:dyDescent="0.25">
      <c r="B2364" t="s">
        <v>2102</v>
      </c>
      <c r="C2364" t="s">
        <v>2103</v>
      </c>
      <c r="D2364" t="str">
        <f>HYPERLINK("https://rhld.insurance.arkansas.gov/NPILookup?Npi=1255042347","1255042347")</f>
        <v>1255042347</v>
      </c>
      <c r="E2364" t="s">
        <v>2423</v>
      </c>
      <c r="F2364" t="s">
        <v>12</v>
      </c>
      <c r="G2364" s="20">
        <v>1</v>
      </c>
      <c r="H2364" t="s">
        <v>139</v>
      </c>
      <c r="I2364" t="s">
        <v>32</v>
      </c>
      <c r="J2364" s="9"/>
      <c r="K2364" s="9"/>
      <c r="L2364" s="9"/>
    </row>
    <row r="2365" spans="2:12" ht="15" x14ac:dyDescent="0.25">
      <c r="B2365" t="s">
        <v>2102</v>
      </c>
      <c r="C2365" t="s">
        <v>2103</v>
      </c>
      <c r="D2365" t="str">
        <f>HYPERLINK("https://rhld.insurance.arkansas.gov/NPILookup?Npi=1255144978","1255144978")</f>
        <v>1255144978</v>
      </c>
      <c r="E2365" t="s">
        <v>2424</v>
      </c>
      <c r="F2365" t="s">
        <v>13</v>
      </c>
      <c r="G2365" s="20">
        <v>2</v>
      </c>
      <c r="H2365" t="s">
        <v>439</v>
      </c>
      <c r="I2365" t="s">
        <v>4357</v>
      </c>
      <c r="J2365" s="9"/>
      <c r="K2365" s="9"/>
      <c r="L2365" s="9"/>
    </row>
    <row r="2366" spans="2:12" ht="15" x14ac:dyDescent="0.25">
      <c r="B2366" t="s">
        <v>2102</v>
      </c>
      <c r="C2366" t="s">
        <v>2103</v>
      </c>
      <c r="D2366" t="str">
        <f>HYPERLINK("https://rhld.insurance.arkansas.gov/NPILookup?Npi=1255192084","1255192084")</f>
        <v>1255192084</v>
      </c>
      <c r="E2366" t="s">
        <v>2425</v>
      </c>
      <c r="F2366" t="s">
        <v>13</v>
      </c>
      <c r="G2366" s="20">
        <v>1</v>
      </c>
      <c r="H2366" t="s">
        <v>4357</v>
      </c>
      <c r="I2366" t="s">
        <v>4357</v>
      </c>
      <c r="J2366" s="9"/>
      <c r="K2366" s="9"/>
      <c r="L2366" s="9"/>
    </row>
    <row r="2367" spans="2:12" ht="15" x14ac:dyDescent="0.25">
      <c r="B2367" t="s">
        <v>2102</v>
      </c>
      <c r="C2367" t="s">
        <v>2103</v>
      </c>
      <c r="D2367" t="str">
        <f>HYPERLINK("https://rhld.insurance.arkansas.gov/NPILookup?Npi=1255368270","1255368270")</f>
        <v>1255368270</v>
      </c>
      <c r="E2367" t="s">
        <v>2426</v>
      </c>
      <c r="F2367" t="s">
        <v>12</v>
      </c>
      <c r="G2367" s="20">
        <v>1</v>
      </c>
      <c r="H2367" t="s">
        <v>4338</v>
      </c>
      <c r="I2367" t="s">
        <v>32</v>
      </c>
      <c r="J2367" s="9"/>
      <c r="K2367" s="9"/>
      <c r="L2367" s="9"/>
    </row>
    <row r="2368" spans="2:12" ht="15" x14ac:dyDescent="0.25">
      <c r="B2368" t="s">
        <v>2102</v>
      </c>
      <c r="C2368" t="s">
        <v>2103</v>
      </c>
      <c r="D2368" t="str">
        <f>HYPERLINK("https://rhld.insurance.arkansas.gov/NPILookup?Npi=1255379350","1255379350")</f>
        <v>1255379350</v>
      </c>
      <c r="E2368" t="s">
        <v>2427</v>
      </c>
      <c r="F2368" t="s">
        <v>13</v>
      </c>
      <c r="G2368" s="20">
        <v>1</v>
      </c>
      <c r="H2368" t="s">
        <v>4357</v>
      </c>
      <c r="I2368" t="s">
        <v>4357</v>
      </c>
      <c r="J2368" s="9"/>
      <c r="K2368" s="9"/>
      <c r="L2368" s="9"/>
    </row>
    <row r="2369" spans="2:12" ht="15" x14ac:dyDescent="0.25">
      <c r="B2369" t="s">
        <v>2102</v>
      </c>
      <c r="C2369" t="s">
        <v>2103</v>
      </c>
      <c r="D2369" t="str">
        <f>HYPERLINK("https://rhld.insurance.arkansas.gov/NPILookup?Npi=1255446118","1255446118")</f>
        <v>1255446118</v>
      </c>
      <c r="E2369" t="s">
        <v>2428</v>
      </c>
      <c r="F2369" t="s">
        <v>12</v>
      </c>
      <c r="G2369" s="20">
        <v>1</v>
      </c>
      <c r="H2369" t="s">
        <v>4349</v>
      </c>
      <c r="I2369" t="s">
        <v>32</v>
      </c>
      <c r="J2369" s="9"/>
      <c r="K2369" s="9"/>
      <c r="L2369" s="9"/>
    </row>
    <row r="2370" spans="2:12" ht="15" x14ac:dyDescent="0.25">
      <c r="B2370" t="s">
        <v>2102</v>
      </c>
      <c r="C2370" t="s">
        <v>2103</v>
      </c>
      <c r="D2370" t="str">
        <f>HYPERLINK("https://rhld.insurance.arkansas.gov/NPILookup?Npi=1255598983","1255598983")</f>
        <v>1255598983</v>
      </c>
      <c r="E2370" t="s">
        <v>1041</v>
      </c>
      <c r="F2370" t="s">
        <v>12</v>
      </c>
      <c r="G2370" s="20">
        <v>1</v>
      </c>
      <c r="H2370" t="s">
        <v>4338</v>
      </c>
      <c r="I2370" t="s">
        <v>32</v>
      </c>
      <c r="J2370" s="9"/>
      <c r="K2370" s="9"/>
      <c r="L2370" s="9"/>
    </row>
    <row r="2371" spans="2:12" ht="15" x14ac:dyDescent="0.25">
      <c r="B2371" t="s">
        <v>2102</v>
      </c>
      <c r="C2371" t="s">
        <v>2103</v>
      </c>
      <c r="D2371" t="str">
        <f>HYPERLINK("https://rhld.insurance.arkansas.gov/NPILookup?Npi=1255607164","1255607164")</f>
        <v>1255607164</v>
      </c>
      <c r="E2371" t="s">
        <v>4515</v>
      </c>
      <c r="F2371" t="s">
        <v>12</v>
      </c>
      <c r="G2371" s="20">
        <v>1</v>
      </c>
      <c r="H2371" t="s">
        <v>4349</v>
      </c>
      <c r="I2371" t="s">
        <v>32</v>
      </c>
      <c r="J2371" s="9"/>
      <c r="K2371" s="9"/>
      <c r="L2371" s="9"/>
    </row>
    <row r="2372" spans="2:12" ht="15" x14ac:dyDescent="0.25">
      <c r="B2372" t="s">
        <v>2102</v>
      </c>
      <c r="C2372" t="s">
        <v>2103</v>
      </c>
      <c r="D2372" t="str">
        <f>HYPERLINK("https://rhld.insurance.arkansas.gov/NPILookup?Npi=1255623609","1255623609")</f>
        <v>1255623609</v>
      </c>
      <c r="E2372" t="s">
        <v>2429</v>
      </c>
      <c r="F2372" t="s">
        <v>12</v>
      </c>
      <c r="G2372" s="20">
        <v>1</v>
      </c>
      <c r="H2372" t="s">
        <v>4349</v>
      </c>
      <c r="I2372" t="s">
        <v>32</v>
      </c>
      <c r="J2372" s="9"/>
      <c r="K2372" s="9"/>
      <c r="L2372" s="9"/>
    </row>
    <row r="2373" spans="2:12" ht="15" x14ac:dyDescent="0.25">
      <c r="B2373" t="s">
        <v>2102</v>
      </c>
      <c r="C2373" t="s">
        <v>2103</v>
      </c>
      <c r="D2373" t="str">
        <f>HYPERLINK("https://rhld.insurance.arkansas.gov/NPILookup?Npi=1255627212","1255627212")</f>
        <v>1255627212</v>
      </c>
      <c r="E2373" t="s">
        <v>2430</v>
      </c>
      <c r="F2373" t="s">
        <v>12</v>
      </c>
      <c r="G2373" s="20">
        <v>1</v>
      </c>
      <c r="H2373" t="s">
        <v>4338</v>
      </c>
      <c r="I2373" t="s">
        <v>32</v>
      </c>
      <c r="J2373" s="9"/>
      <c r="K2373" s="9"/>
      <c r="L2373" s="9"/>
    </row>
    <row r="2374" spans="2:12" ht="15" x14ac:dyDescent="0.25">
      <c r="B2374" t="s">
        <v>2102</v>
      </c>
      <c r="C2374" t="s">
        <v>2103</v>
      </c>
      <c r="D2374" t="str">
        <f>HYPERLINK("https://rhld.insurance.arkansas.gov/NPILookup?Npi=1255694600","1255694600")</f>
        <v>1255694600</v>
      </c>
      <c r="E2374" t="s">
        <v>2432</v>
      </c>
      <c r="F2374" t="s">
        <v>12</v>
      </c>
      <c r="G2374" s="20">
        <v>1</v>
      </c>
      <c r="H2374" t="s">
        <v>4349</v>
      </c>
      <c r="I2374" t="s">
        <v>32</v>
      </c>
      <c r="J2374" s="9"/>
      <c r="K2374" s="9"/>
      <c r="L2374" s="9"/>
    </row>
    <row r="2375" spans="2:12" ht="15" x14ac:dyDescent="0.25">
      <c r="B2375" t="s">
        <v>2102</v>
      </c>
      <c r="C2375" t="s">
        <v>2103</v>
      </c>
      <c r="D2375" t="str">
        <f>HYPERLINK("https://rhld.insurance.arkansas.gov/NPILookup?Npi=1255728747","1255728747")</f>
        <v>1255728747</v>
      </c>
      <c r="E2375" t="s">
        <v>2433</v>
      </c>
      <c r="F2375" t="s">
        <v>12</v>
      </c>
      <c r="G2375" s="20">
        <v>1</v>
      </c>
      <c r="H2375" t="s">
        <v>4349</v>
      </c>
      <c r="I2375" t="s">
        <v>4357</v>
      </c>
      <c r="J2375" s="9"/>
      <c r="K2375" s="9"/>
      <c r="L2375" s="9"/>
    </row>
    <row r="2376" spans="2:12" ht="15" x14ac:dyDescent="0.25">
      <c r="B2376" t="s">
        <v>2102</v>
      </c>
      <c r="C2376" t="s">
        <v>2103</v>
      </c>
      <c r="D2376" t="str">
        <f>HYPERLINK("https://rhld.insurance.arkansas.gov/NPILookup?Npi=1255793444","1255793444")</f>
        <v>1255793444</v>
      </c>
      <c r="E2376" t="s">
        <v>2435</v>
      </c>
      <c r="F2376" t="s">
        <v>12</v>
      </c>
      <c r="G2376" s="20">
        <v>1</v>
      </c>
      <c r="H2376" t="s">
        <v>4349</v>
      </c>
      <c r="I2376" t="s">
        <v>32</v>
      </c>
      <c r="J2376" s="9"/>
      <c r="K2376" s="9"/>
      <c r="L2376" s="9"/>
    </row>
    <row r="2377" spans="2:12" ht="15" x14ac:dyDescent="0.25">
      <c r="B2377" t="s">
        <v>2102</v>
      </c>
      <c r="C2377" t="s">
        <v>2103</v>
      </c>
      <c r="D2377" t="str">
        <f>HYPERLINK("https://rhld.insurance.arkansas.gov/NPILookup?Npi=1255950069","1255950069")</f>
        <v>1255950069</v>
      </c>
      <c r="E2377" t="s">
        <v>2437</v>
      </c>
      <c r="F2377" t="s">
        <v>12</v>
      </c>
      <c r="G2377" s="20">
        <v>1</v>
      </c>
      <c r="H2377" t="s">
        <v>4349</v>
      </c>
      <c r="I2377" t="s">
        <v>32</v>
      </c>
      <c r="J2377" s="9"/>
      <c r="K2377" s="9"/>
      <c r="L2377" s="9"/>
    </row>
    <row r="2378" spans="2:12" ht="15" x14ac:dyDescent="0.25">
      <c r="B2378" t="s">
        <v>2102</v>
      </c>
      <c r="C2378" t="s">
        <v>2103</v>
      </c>
      <c r="D2378" t="str">
        <f>HYPERLINK("https://rhld.insurance.arkansas.gov/NPILookup?Npi=1255953683","1255953683")</f>
        <v>1255953683</v>
      </c>
      <c r="E2378" t="s">
        <v>2438</v>
      </c>
      <c r="F2378" t="s">
        <v>12</v>
      </c>
      <c r="G2378" s="20">
        <v>1</v>
      </c>
      <c r="H2378" t="s">
        <v>4349</v>
      </c>
      <c r="I2378" t="s">
        <v>4357</v>
      </c>
      <c r="J2378" s="9"/>
      <c r="K2378" s="9"/>
      <c r="L2378" s="9"/>
    </row>
    <row r="2379" spans="2:12" ht="15" x14ac:dyDescent="0.25">
      <c r="B2379" t="s">
        <v>2102</v>
      </c>
      <c r="C2379" t="s">
        <v>2103</v>
      </c>
      <c r="D2379" t="str">
        <f>HYPERLINK("https://rhld.insurance.arkansas.gov/NPILookup?Npi=1255987699","1255987699")</f>
        <v>1255987699</v>
      </c>
      <c r="E2379" t="s">
        <v>2439</v>
      </c>
      <c r="F2379" t="s">
        <v>12</v>
      </c>
      <c r="G2379" s="20">
        <v>1</v>
      </c>
      <c r="H2379" t="s">
        <v>4338</v>
      </c>
      <c r="I2379" t="s">
        <v>32</v>
      </c>
      <c r="J2379" s="9"/>
      <c r="K2379" s="9"/>
      <c r="L2379" s="9"/>
    </row>
    <row r="2380" spans="2:12" ht="15" x14ac:dyDescent="0.25">
      <c r="B2380" t="s">
        <v>2102</v>
      </c>
      <c r="C2380" t="s">
        <v>2103</v>
      </c>
      <c r="D2380" t="str">
        <f>HYPERLINK("https://rhld.insurance.arkansas.gov/NPILookup?Npi=1255993317","1255993317")</f>
        <v>1255993317</v>
      </c>
      <c r="E2380" t="s">
        <v>2440</v>
      </c>
      <c r="F2380" t="s">
        <v>12</v>
      </c>
      <c r="G2380" s="20">
        <v>1</v>
      </c>
      <c r="H2380" t="s">
        <v>4349</v>
      </c>
      <c r="I2380" t="s">
        <v>4357</v>
      </c>
      <c r="J2380" s="9"/>
      <c r="K2380" s="9"/>
      <c r="L2380" s="9"/>
    </row>
    <row r="2381" spans="2:12" ht="15" x14ac:dyDescent="0.25">
      <c r="B2381" t="s">
        <v>2102</v>
      </c>
      <c r="C2381" t="s">
        <v>2103</v>
      </c>
      <c r="D2381" t="str">
        <f>HYPERLINK("https://rhld.insurance.arkansas.gov/NPILookup?Npi=1265058804","1265058804")</f>
        <v>1265058804</v>
      </c>
      <c r="E2381" t="s">
        <v>2061</v>
      </c>
      <c r="F2381" t="s">
        <v>13</v>
      </c>
      <c r="G2381" s="20">
        <v>1</v>
      </c>
      <c r="H2381" t="s">
        <v>4357</v>
      </c>
      <c r="I2381" t="s">
        <v>32</v>
      </c>
      <c r="J2381" s="9"/>
      <c r="K2381" s="9"/>
      <c r="L2381" s="9"/>
    </row>
    <row r="2382" spans="2:12" ht="15" x14ac:dyDescent="0.25">
      <c r="B2382" t="s">
        <v>2102</v>
      </c>
      <c r="C2382" t="s">
        <v>2103</v>
      </c>
      <c r="D2382" t="str">
        <f>HYPERLINK("https://rhld.insurance.arkansas.gov/NPILookup?Npi=1265168702","1265168702")</f>
        <v>1265168702</v>
      </c>
      <c r="E2382" t="s">
        <v>2441</v>
      </c>
      <c r="F2382" t="s">
        <v>13</v>
      </c>
      <c r="G2382" s="20">
        <v>1</v>
      </c>
      <c r="H2382" t="s">
        <v>4357</v>
      </c>
      <c r="I2382" t="s">
        <v>4357</v>
      </c>
      <c r="J2382" s="9"/>
      <c r="K2382" s="9"/>
      <c r="L2382" s="9"/>
    </row>
    <row r="2383" spans="2:12" ht="15" x14ac:dyDescent="0.25">
      <c r="B2383" t="s">
        <v>2102</v>
      </c>
      <c r="C2383" t="s">
        <v>2103</v>
      </c>
      <c r="D2383" t="str">
        <f>HYPERLINK("https://rhld.insurance.arkansas.gov/NPILookup?Npi=1265255202","1265255202")</f>
        <v>1265255202</v>
      </c>
      <c r="E2383" t="s">
        <v>2442</v>
      </c>
      <c r="F2383" t="s">
        <v>13</v>
      </c>
      <c r="G2383" s="20">
        <v>1</v>
      </c>
      <c r="H2383" t="s">
        <v>4357</v>
      </c>
      <c r="I2383" t="s">
        <v>4357</v>
      </c>
      <c r="J2383" s="9"/>
      <c r="K2383" s="9"/>
      <c r="L2383" s="9"/>
    </row>
    <row r="2384" spans="2:12" ht="15" x14ac:dyDescent="0.25">
      <c r="B2384" t="s">
        <v>2102</v>
      </c>
      <c r="C2384" t="s">
        <v>2103</v>
      </c>
      <c r="D2384" t="str">
        <f>HYPERLINK("https://rhld.insurance.arkansas.gov/NPILookup?Npi=1265278923","1265278923")</f>
        <v>1265278923</v>
      </c>
      <c r="E2384" t="s">
        <v>2443</v>
      </c>
      <c r="F2384" t="s">
        <v>13</v>
      </c>
      <c r="G2384" s="20">
        <v>2</v>
      </c>
      <c r="H2384" t="s">
        <v>439</v>
      </c>
      <c r="I2384" t="s">
        <v>4357</v>
      </c>
      <c r="J2384" s="9"/>
      <c r="K2384" s="9"/>
      <c r="L2384" s="9"/>
    </row>
    <row r="2385" spans="2:12" ht="15" x14ac:dyDescent="0.25">
      <c r="B2385" t="s">
        <v>2102</v>
      </c>
      <c r="C2385" t="s">
        <v>2103</v>
      </c>
      <c r="D2385" t="str">
        <f>HYPERLINK("https://rhld.insurance.arkansas.gov/NPILookup?Npi=1265411318","1265411318")</f>
        <v>1265411318</v>
      </c>
      <c r="E2385" t="s">
        <v>2444</v>
      </c>
      <c r="F2385" t="s">
        <v>12</v>
      </c>
      <c r="G2385" s="20">
        <v>1</v>
      </c>
      <c r="H2385" t="s">
        <v>4349</v>
      </c>
      <c r="I2385" t="s">
        <v>32</v>
      </c>
      <c r="J2385" s="9"/>
      <c r="K2385" s="9"/>
      <c r="L2385" s="9"/>
    </row>
    <row r="2386" spans="2:12" ht="15" x14ac:dyDescent="0.25">
      <c r="B2386" t="s">
        <v>2102</v>
      </c>
      <c r="C2386" t="s">
        <v>2103</v>
      </c>
      <c r="D2386" t="str">
        <f>HYPERLINK("https://rhld.insurance.arkansas.gov/NPILookup?Npi=1265438501","1265438501")</f>
        <v>1265438501</v>
      </c>
      <c r="E2386" t="s">
        <v>4516</v>
      </c>
      <c r="F2386" t="s">
        <v>12</v>
      </c>
      <c r="G2386" s="20">
        <v>1</v>
      </c>
      <c r="H2386" t="s">
        <v>4349</v>
      </c>
      <c r="I2386" t="s">
        <v>32</v>
      </c>
      <c r="J2386" s="9"/>
      <c r="K2386" s="9"/>
      <c r="L2386" s="9"/>
    </row>
    <row r="2387" spans="2:12" ht="15" x14ac:dyDescent="0.25">
      <c r="B2387" t="s">
        <v>2102</v>
      </c>
      <c r="C2387" t="s">
        <v>2103</v>
      </c>
      <c r="D2387" t="str">
        <f>HYPERLINK("https://rhld.insurance.arkansas.gov/NPILookup?Npi=1265471494","1265471494")</f>
        <v>1265471494</v>
      </c>
      <c r="E2387" t="s">
        <v>505</v>
      </c>
      <c r="F2387" t="s">
        <v>12</v>
      </c>
      <c r="G2387" s="20">
        <v>1</v>
      </c>
      <c r="H2387" t="s">
        <v>4338</v>
      </c>
      <c r="I2387" t="s">
        <v>4357</v>
      </c>
      <c r="J2387" s="9"/>
      <c r="K2387" s="9"/>
      <c r="L2387" s="9"/>
    </row>
    <row r="2388" spans="2:12" ht="15" x14ac:dyDescent="0.25">
      <c r="B2388" t="s">
        <v>2102</v>
      </c>
      <c r="C2388" t="s">
        <v>2103</v>
      </c>
      <c r="D2388" t="str">
        <f>HYPERLINK("https://rhld.insurance.arkansas.gov/NPILookup?Npi=1265480685","1265480685")</f>
        <v>1265480685</v>
      </c>
      <c r="E2388" t="s">
        <v>2445</v>
      </c>
      <c r="F2388" t="s">
        <v>12</v>
      </c>
      <c r="G2388" s="20">
        <v>1</v>
      </c>
      <c r="H2388" t="s">
        <v>4349</v>
      </c>
      <c r="I2388" t="s">
        <v>4357</v>
      </c>
      <c r="J2388" s="9"/>
      <c r="K2388" s="9"/>
      <c r="L2388" s="9"/>
    </row>
    <row r="2389" spans="2:12" ht="15" x14ac:dyDescent="0.25">
      <c r="B2389" t="s">
        <v>2102</v>
      </c>
      <c r="C2389" t="s">
        <v>2103</v>
      </c>
      <c r="D2389" t="str">
        <f>HYPERLINK("https://rhld.insurance.arkansas.gov/NPILookup?Npi=1265493241","1265493241")</f>
        <v>1265493241</v>
      </c>
      <c r="E2389" t="s">
        <v>4517</v>
      </c>
      <c r="F2389" t="s">
        <v>12</v>
      </c>
      <c r="G2389" s="20">
        <v>1</v>
      </c>
      <c r="H2389" t="s">
        <v>4349</v>
      </c>
      <c r="I2389" t="s">
        <v>32</v>
      </c>
      <c r="J2389" s="9"/>
      <c r="K2389" s="9"/>
      <c r="L2389" s="9"/>
    </row>
    <row r="2390" spans="2:12" ht="15" x14ac:dyDescent="0.25">
      <c r="B2390" t="s">
        <v>2102</v>
      </c>
      <c r="C2390" t="s">
        <v>2103</v>
      </c>
      <c r="D2390" t="str">
        <f>HYPERLINK("https://rhld.insurance.arkansas.gov/NPILookup?Npi=1265729537","1265729537")</f>
        <v>1265729537</v>
      </c>
      <c r="E2390" t="s">
        <v>2448</v>
      </c>
      <c r="F2390" t="s">
        <v>12</v>
      </c>
      <c r="G2390" s="20">
        <v>1</v>
      </c>
      <c r="H2390" t="s">
        <v>4349</v>
      </c>
      <c r="I2390" t="s">
        <v>32</v>
      </c>
      <c r="J2390" s="9"/>
      <c r="K2390" s="9"/>
      <c r="L2390" s="9"/>
    </row>
    <row r="2391" spans="2:12" ht="15" x14ac:dyDescent="0.25">
      <c r="B2391" t="s">
        <v>2102</v>
      </c>
      <c r="C2391" t="s">
        <v>2103</v>
      </c>
      <c r="D2391" t="str">
        <f>HYPERLINK("https://rhld.insurance.arkansas.gov/NPILookup?Npi=1265782601","1265782601")</f>
        <v>1265782601</v>
      </c>
      <c r="E2391" t="s">
        <v>1628</v>
      </c>
      <c r="F2391" t="s">
        <v>13</v>
      </c>
      <c r="G2391" s="20">
        <v>1</v>
      </c>
      <c r="H2391" t="s">
        <v>4357</v>
      </c>
      <c r="I2391" t="s">
        <v>4357</v>
      </c>
      <c r="J2391" s="9"/>
      <c r="K2391" s="9"/>
      <c r="L2391" s="9"/>
    </row>
    <row r="2392" spans="2:12" ht="15" x14ac:dyDescent="0.25">
      <c r="B2392" t="s">
        <v>2102</v>
      </c>
      <c r="C2392" t="s">
        <v>2103</v>
      </c>
      <c r="D2392" t="str">
        <f>HYPERLINK("https://rhld.insurance.arkansas.gov/NPILookup?Npi=1265822035","1265822035")</f>
        <v>1265822035</v>
      </c>
      <c r="E2392" t="s">
        <v>2449</v>
      </c>
      <c r="F2392" t="s">
        <v>13</v>
      </c>
      <c r="G2392" s="20">
        <v>1</v>
      </c>
      <c r="H2392" t="s">
        <v>4357</v>
      </c>
      <c r="I2392" t="s">
        <v>4357</v>
      </c>
      <c r="J2392" s="9"/>
      <c r="K2392" s="9"/>
      <c r="L2392" s="9"/>
    </row>
    <row r="2393" spans="2:12" ht="15" x14ac:dyDescent="0.25">
      <c r="B2393" t="s">
        <v>2102</v>
      </c>
      <c r="C2393" t="s">
        <v>2103</v>
      </c>
      <c r="D2393" t="str">
        <f>HYPERLINK("https://rhld.insurance.arkansas.gov/NPILookup?Npi=1265826093","1265826093")</f>
        <v>1265826093</v>
      </c>
      <c r="E2393" t="s">
        <v>2450</v>
      </c>
      <c r="F2393" t="s">
        <v>13</v>
      </c>
      <c r="G2393" s="20">
        <v>1</v>
      </c>
      <c r="H2393" t="s">
        <v>4357</v>
      </c>
      <c r="I2393" t="s">
        <v>4357</v>
      </c>
      <c r="J2393" s="9"/>
      <c r="K2393" s="9"/>
      <c r="L2393" s="9"/>
    </row>
    <row r="2394" spans="2:12" ht="15" x14ac:dyDescent="0.25">
      <c r="B2394" t="s">
        <v>2102</v>
      </c>
      <c r="C2394" t="s">
        <v>2103</v>
      </c>
      <c r="D2394" t="str">
        <f>HYPERLINK("https://rhld.insurance.arkansas.gov/NPILookup?Npi=1265889638","1265889638")</f>
        <v>1265889638</v>
      </c>
      <c r="E2394" t="s">
        <v>2451</v>
      </c>
      <c r="F2394" t="s">
        <v>12</v>
      </c>
      <c r="G2394" s="20">
        <v>1</v>
      </c>
      <c r="H2394" t="s">
        <v>4338</v>
      </c>
      <c r="I2394" t="s">
        <v>32</v>
      </c>
      <c r="J2394" s="9"/>
      <c r="K2394" s="9"/>
      <c r="L2394" s="9"/>
    </row>
    <row r="2395" spans="2:12" ht="15" x14ac:dyDescent="0.25">
      <c r="B2395" t="s">
        <v>2102</v>
      </c>
      <c r="C2395" t="s">
        <v>2103</v>
      </c>
      <c r="D2395" t="str">
        <f>HYPERLINK("https://rhld.insurance.arkansas.gov/NPILookup?Npi=1265925358","1265925358")</f>
        <v>1265925358</v>
      </c>
      <c r="E2395" t="s">
        <v>2452</v>
      </c>
      <c r="F2395" t="s">
        <v>13</v>
      </c>
      <c r="G2395" s="20">
        <v>1</v>
      </c>
      <c r="H2395" t="s">
        <v>4357</v>
      </c>
      <c r="I2395" t="s">
        <v>4357</v>
      </c>
      <c r="J2395" s="9"/>
      <c r="K2395" s="9"/>
      <c r="L2395" s="9"/>
    </row>
    <row r="2396" spans="2:12" ht="15" x14ac:dyDescent="0.25">
      <c r="B2396" t="s">
        <v>2102</v>
      </c>
      <c r="C2396" t="s">
        <v>2103</v>
      </c>
      <c r="D2396" t="str">
        <f>HYPERLINK("https://rhld.insurance.arkansas.gov/NPILookup?Npi=1275204091","1275204091")</f>
        <v>1275204091</v>
      </c>
      <c r="E2396" t="s">
        <v>2454</v>
      </c>
      <c r="F2396" t="s">
        <v>12</v>
      </c>
      <c r="G2396" s="20">
        <v>1</v>
      </c>
      <c r="H2396" t="s">
        <v>4338</v>
      </c>
      <c r="I2396" t="s">
        <v>32</v>
      </c>
      <c r="J2396" s="9"/>
      <c r="K2396" s="9"/>
      <c r="L2396" s="9"/>
    </row>
    <row r="2397" spans="2:12" ht="15" x14ac:dyDescent="0.25">
      <c r="B2397" t="s">
        <v>2102</v>
      </c>
      <c r="C2397" t="s">
        <v>2103</v>
      </c>
      <c r="D2397" t="str">
        <f>HYPERLINK("https://rhld.insurance.arkansas.gov/NPILookup?Npi=1275508962","1275508962")</f>
        <v>1275508962</v>
      </c>
      <c r="E2397" t="s">
        <v>2455</v>
      </c>
      <c r="F2397" t="s">
        <v>12</v>
      </c>
      <c r="G2397" s="20">
        <v>1</v>
      </c>
      <c r="H2397" t="s">
        <v>4349</v>
      </c>
      <c r="I2397" t="s">
        <v>4357</v>
      </c>
      <c r="J2397" s="9"/>
      <c r="K2397" s="9"/>
      <c r="L2397" s="9"/>
    </row>
    <row r="2398" spans="2:12" ht="15" x14ac:dyDescent="0.25">
      <c r="B2398" t="s">
        <v>2102</v>
      </c>
      <c r="C2398" t="s">
        <v>2103</v>
      </c>
      <c r="D2398" t="str">
        <f>HYPERLINK("https://rhld.insurance.arkansas.gov/NPILookup?Npi=1275532715","1275532715")</f>
        <v>1275532715</v>
      </c>
      <c r="E2398" t="s">
        <v>4518</v>
      </c>
      <c r="F2398" t="s">
        <v>12</v>
      </c>
      <c r="G2398" s="20">
        <v>1</v>
      </c>
      <c r="H2398" t="s">
        <v>4349</v>
      </c>
      <c r="I2398" t="s">
        <v>32</v>
      </c>
      <c r="J2398" s="9"/>
      <c r="K2398" s="9"/>
      <c r="L2398" s="9"/>
    </row>
    <row r="2399" spans="2:12" ht="15" x14ac:dyDescent="0.25">
      <c r="B2399" t="s">
        <v>2102</v>
      </c>
      <c r="C2399" t="s">
        <v>2103</v>
      </c>
      <c r="D2399" t="str">
        <f>HYPERLINK("https://rhld.insurance.arkansas.gov/NPILookup?Npi=1275547978","1275547978")</f>
        <v>1275547978</v>
      </c>
      <c r="E2399" t="s">
        <v>2456</v>
      </c>
      <c r="F2399" t="s">
        <v>12</v>
      </c>
      <c r="G2399" s="20">
        <v>1</v>
      </c>
      <c r="H2399" t="s">
        <v>141</v>
      </c>
      <c r="I2399" t="s">
        <v>32</v>
      </c>
      <c r="J2399" s="9"/>
      <c r="K2399" s="9"/>
      <c r="L2399" s="9"/>
    </row>
    <row r="2400" spans="2:12" ht="15" x14ac:dyDescent="0.25">
      <c r="B2400" t="s">
        <v>2102</v>
      </c>
      <c r="C2400" t="s">
        <v>2103</v>
      </c>
      <c r="D2400" t="str">
        <f>HYPERLINK("https://rhld.insurance.arkansas.gov/NPILookup?Npi=1275556599","1275556599")</f>
        <v>1275556599</v>
      </c>
      <c r="E2400" t="s">
        <v>4519</v>
      </c>
      <c r="F2400" t="s">
        <v>12</v>
      </c>
      <c r="G2400" s="20">
        <v>1</v>
      </c>
      <c r="H2400" t="s">
        <v>4349</v>
      </c>
      <c r="I2400" t="s">
        <v>32</v>
      </c>
      <c r="J2400" s="9"/>
      <c r="K2400" s="9"/>
      <c r="L2400" s="9"/>
    </row>
    <row r="2401" spans="2:12" ht="15" x14ac:dyDescent="0.25">
      <c r="B2401" t="s">
        <v>2102</v>
      </c>
      <c r="C2401" t="s">
        <v>2103</v>
      </c>
      <c r="D2401" t="str">
        <f>HYPERLINK("https://rhld.insurance.arkansas.gov/NPILookup?Npi=1275639759","1275639759")</f>
        <v>1275639759</v>
      </c>
      <c r="E2401" t="s">
        <v>2459</v>
      </c>
      <c r="F2401" t="s">
        <v>12</v>
      </c>
      <c r="G2401" s="20">
        <v>1</v>
      </c>
      <c r="H2401" t="s">
        <v>4338</v>
      </c>
      <c r="I2401" t="s">
        <v>32</v>
      </c>
      <c r="J2401" s="9"/>
      <c r="K2401" s="9"/>
      <c r="L2401" s="9"/>
    </row>
    <row r="2402" spans="2:12" ht="15" x14ac:dyDescent="0.25">
      <c r="B2402" t="s">
        <v>2102</v>
      </c>
      <c r="C2402" t="s">
        <v>2103</v>
      </c>
      <c r="D2402" t="str">
        <f>HYPERLINK("https://rhld.insurance.arkansas.gov/NPILookup?Npi=1275738486","1275738486")</f>
        <v>1275738486</v>
      </c>
      <c r="E2402" t="s">
        <v>4520</v>
      </c>
      <c r="F2402" t="s">
        <v>12</v>
      </c>
      <c r="G2402" s="20">
        <v>1</v>
      </c>
      <c r="H2402" t="s">
        <v>4349</v>
      </c>
      <c r="I2402" t="s">
        <v>32</v>
      </c>
      <c r="J2402" s="9"/>
      <c r="K2402" s="9"/>
      <c r="L2402" s="9"/>
    </row>
    <row r="2403" spans="2:12" ht="15" x14ac:dyDescent="0.25">
      <c r="B2403" t="s">
        <v>2102</v>
      </c>
      <c r="C2403" t="s">
        <v>2103</v>
      </c>
      <c r="D2403" t="str">
        <f>HYPERLINK("https://rhld.insurance.arkansas.gov/NPILookup?Npi=1275763757","1275763757")</f>
        <v>1275763757</v>
      </c>
      <c r="E2403" t="s">
        <v>4521</v>
      </c>
      <c r="F2403" t="s">
        <v>12</v>
      </c>
      <c r="G2403" s="20">
        <v>1</v>
      </c>
      <c r="H2403" t="s">
        <v>4349</v>
      </c>
      <c r="I2403" t="s">
        <v>32</v>
      </c>
      <c r="J2403" s="9"/>
      <c r="K2403" s="9"/>
      <c r="L2403" s="9"/>
    </row>
    <row r="2404" spans="2:12" ht="15" x14ac:dyDescent="0.25">
      <c r="B2404" t="s">
        <v>2102</v>
      </c>
      <c r="C2404" t="s">
        <v>2103</v>
      </c>
      <c r="D2404" t="str">
        <f>HYPERLINK("https://rhld.insurance.arkansas.gov/NPILookup?Npi=1275793101","1275793101")</f>
        <v>1275793101</v>
      </c>
      <c r="E2404" t="s">
        <v>522</v>
      </c>
      <c r="F2404" t="s">
        <v>12</v>
      </c>
      <c r="G2404" s="20">
        <v>1</v>
      </c>
      <c r="H2404" t="s">
        <v>4349</v>
      </c>
      <c r="I2404" t="s">
        <v>32</v>
      </c>
      <c r="J2404" s="9"/>
      <c r="K2404" s="9"/>
      <c r="L2404" s="9"/>
    </row>
    <row r="2405" spans="2:12" ht="15" x14ac:dyDescent="0.25">
      <c r="B2405" t="s">
        <v>2102</v>
      </c>
      <c r="C2405" t="s">
        <v>2103</v>
      </c>
      <c r="D2405" t="str">
        <f>HYPERLINK("https://rhld.insurance.arkansas.gov/NPILookup?Npi=1275823924","1275823924")</f>
        <v>1275823924</v>
      </c>
      <c r="E2405" t="s">
        <v>2460</v>
      </c>
      <c r="F2405" t="s">
        <v>13</v>
      </c>
      <c r="G2405" s="20">
        <v>1</v>
      </c>
      <c r="H2405" t="s">
        <v>4357</v>
      </c>
      <c r="I2405" t="s">
        <v>4357</v>
      </c>
      <c r="J2405" s="9"/>
      <c r="K2405" s="9"/>
      <c r="L2405" s="9"/>
    </row>
    <row r="2406" spans="2:12" ht="15" x14ac:dyDescent="0.25">
      <c r="B2406" t="s">
        <v>2102</v>
      </c>
      <c r="C2406" t="s">
        <v>2103</v>
      </c>
      <c r="D2406" t="str">
        <f>HYPERLINK("https://rhld.insurance.arkansas.gov/NPILookup?Npi=1275935363","1275935363")</f>
        <v>1275935363</v>
      </c>
      <c r="E2406" t="s">
        <v>2461</v>
      </c>
      <c r="F2406" t="s">
        <v>12</v>
      </c>
      <c r="G2406" s="20">
        <v>1</v>
      </c>
      <c r="H2406" t="s">
        <v>4338</v>
      </c>
      <c r="I2406" t="s">
        <v>32</v>
      </c>
      <c r="J2406" s="9"/>
      <c r="K2406" s="9"/>
      <c r="L2406" s="9"/>
    </row>
    <row r="2407" spans="2:12" ht="15" x14ac:dyDescent="0.25">
      <c r="B2407" t="s">
        <v>2102</v>
      </c>
      <c r="C2407" t="s">
        <v>2103</v>
      </c>
      <c r="D2407" t="str">
        <f>HYPERLINK("https://rhld.insurance.arkansas.gov/NPILookup?Npi=1275989907","1275989907")</f>
        <v>1275989907</v>
      </c>
      <c r="E2407" t="s">
        <v>2463</v>
      </c>
      <c r="F2407" t="s">
        <v>12</v>
      </c>
      <c r="G2407" s="20">
        <v>1</v>
      </c>
      <c r="H2407" t="s">
        <v>4338</v>
      </c>
      <c r="I2407" t="s">
        <v>32</v>
      </c>
      <c r="J2407" s="9"/>
      <c r="K2407" s="9"/>
      <c r="L2407" s="9"/>
    </row>
    <row r="2408" spans="2:12" ht="15" x14ac:dyDescent="0.25">
      <c r="B2408" t="s">
        <v>2102</v>
      </c>
      <c r="C2408" t="s">
        <v>2103</v>
      </c>
      <c r="D2408" t="str">
        <f>HYPERLINK("https://rhld.insurance.arkansas.gov/NPILookup?Npi=1275996944","1275996944")</f>
        <v>1275996944</v>
      </c>
      <c r="E2408" t="s">
        <v>2464</v>
      </c>
      <c r="F2408" t="s">
        <v>12</v>
      </c>
      <c r="G2408" s="20">
        <v>1</v>
      </c>
      <c r="H2408" t="s">
        <v>4349</v>
      </c>
      <c r="I2408" t="s">
        <v>32</v>
      </c>
      <c r="J2408" s="9"/>
      <c r="K2408" s="9"/>
      <c r="L2408" s="9"/>
    </row>
    <row r="2409" spans="2:12" ht="15" x14ac:dyDescent="0.25">
      <c r="B2409" t="s">
        <v>2102</v>
      </c>
      <c r="C2409" t="s">
        <v>2103</v>
      </c>
      <c r="D2409" t="str">
        <f>HYPERLINK("https://rhld.insurance.arkansas.gov/NPILookup?Npi=1285099440","1285099440")</f>
        <v>1285099440</v>
      </c>
      <c r="E2409" t="s">
        <v>2467</v>
      </c>
      <c r="F2409" t="s">
        <v>13</v>
      </c>
      <c r="G2409" s="20">
        <v>1</v>
      </c>
      <c r="H2409" t="s">
        <v>4357</v>
      </c>
      <c r="I2409" t="s">
        <v>4357</v>
      </c>
      <c r="J2409" s="9"/>
      <c r="K2409" s="9"/>
      <c r="L2409" s="9"/>
    </row>
    <row r="2410" spans="2:12" ht="15" x14ac:dyDescent="0.25">
      <c r="B2410" t="s">
        <v>2102</v>
      </c>
      <c r="C2410" t="s">
        <v>2103</v>
      </c>
      <c r="D2410" t="str">
        <f>HYPERLINK("https://rhld.insurance.arkansas.gov/NPILookup?Npi=1285154484","1285154484")</f>
        <v>1285154484</v>
      </c>
      <c r="E2410" t="s">
        <v>4522</v>
      </c>
      <c r="F2410" t="s">
        <v>12</v>
      </c>
      <c r="G2410" s="20">
        <v>1</v>
      </c>
      <c r="H2410" t="s">
        <v>4349</v>
      </c>
      <c r="I2410" t="s">
        <v>32</v>
      </c>
      <c r="J2410" s="9"/>
      <c r="K2410" s="9"/>
      <c r="L2410" s="9"/>
    </row>
    <row r="2411" spans="2:12" ht="15" x14ac:dyDescent="0.25">
      <c r="B2411" t="s">
        <v>2102</v>
      </c>
      <c r="C2411" t="s">
        <v>2103</v>
      </c>
      <c r="D2411" t="str">
        <f>HYPERLINK("https://rhld.insurance.arkansas.gov/NPILookup?Npi=1285197798","1285197798")</f>
        <v>1285197798</v>
      </c>
      <c r="E2411" t="s">
        <v>2468</v>
      </c>
      <c r="F2411" t="s">
        <v>12</v>
      </c>
      <c r="G2411" s="20">
        <v>1</v>
      </c>
      <c r="H2411" t="s">
        <v>4349</v>
      </c>
      <c r="I2411" t="s">
        <v>32</v>
      </c>
      <c r="J2411" s="9"/>
      <c r="K2411" s="9"/>
      <c r="L2411" s="9"/>
    </row>
    <row r="2412" spans="2:12" ht="15" x14ac:dyDescent="0.25">
      <c r="B2412" t="s">
        <v>2102</v>
      </c>
      <c r="C2412" t="s">
        <v>2103</v>
      </c>
      <c r="D2412" t="str">
        <f>HYPERLINK("https://rhld.insurance.arkansas.gov/NPILookup?Npi=1285214346","1285214346")</f>
        <v>1285214346</v>
      </c>
      <c r="E2412" t="s">
        <v>524</v>
      </c>
      <c r="F2412" t="s">
        <v>13</v>
      </c>
      <c r="G2412" s="20">
        <v>1</v>
      </c>
      <c r="H2412" t="s">
        <v>4357</v>
      </c>
      <c r="I2412" t="s">
        <v>4357</v>
      </c>
      <c r="J2412" s="9"/>
      <c r="K2412" s="9"/>
      <c r="L2412" s="9"/>
    </row>
    <row r="2413" spans="2:12" ht="15" x14ac:dyDescent="0.25">
      <c r="B2413" t="s">
        <v>2102</v>
      </c>
      <c r="C2413" t="s">
        <v>2103</v>
      </c>
      <c r="D2413" t="str">
        <f>HYPERLINK("https://rhld.insurance.arkansas.gov/NPILookup?Npi=1285253351","1285253351")</f>
        <v>1285253351</v>
      </c>
      <c r="E2413" t="s">
        <v>2470</v>
      </c>
      <c r="F2413" t="s">
        <v>12</v>
      </c>
      <c r="G2413" s="20">
        <v>1</v>
      </c>
      <c r="H2413" t="s">
        <v>4349</v>
      </c>
      <c r="I2413" t="s">
        <v>32</v>
      </c>
      <c r="J2413" s="9"/>
      <c r="K2413" s="9"/>
      <c r="L2413" s="9"/>
    </row>
    <row r="2414" spans="2:12" ht="15" x14ac:dyDescent="0.25">
      <c r="B2414" t="s">
        <v>2102</v>
      </c>
      <c r="C2414" t="s">
        <v>2103</v>
      </c>
      <c r="D2414" t="str">
        <f>HYPERLINK("https://rhld.insurance.arkansas.gov/NPILookup?Npi=1285624817","1285624817")</f>
        <v>1285624817</v>
      </c>
      <c r="E2414" t="s">
        <v>2471</v>
      </c>
      <c r="F2414" t="s">
        <v>12</v>
      </c>
      <c r="G2414" s="20">
        <v>1</v>
      </c>
      <c r="H2414" t="s">
        <v>4338</v>
      </c>
      <c r="I2414" t="s">
        <v>32</v>
      </c>
      <c r="J2414" s="9"/>
      <c r="K2414" s="9"/>
      <c r="L2414" s="9"/>
    </row>
    <row r="2415" spans="2:12" ht="15" x14ac:dyDescent="0.25">
      <c r="B2415" t="s">
        <v>2102</v>
      </c>
      <c r="C2415" t="s">
        <v>2103</v>
      </c>
      <c r="D2415" t="str">
        <f>HYPERLINK("https://rhld.insurance.arkansas.gov/NPILookup?Npi=1285628065","1285628065")</f>
        <v>1285628065</v>
      </c>
      <c r="E2415" t="s">
        <v>4523</v>
      </c>
      <c r="F2415" t="s">
        <v>12</v>
      </c>
      <c r="G2415" s="20">
        <v>1</v>
      </c>
      <c r="H2415" t="s">
        <v>4349</v>
      </c>
      <c r="I2415" t="s">
        <v>32</v>
      </c>
      <c r="J2415" s="9"/>
      <c r="K2415" s="9"/>
      <c r="L2415" s="9"/>
    </row>
    <row r="2416" spans="2:12" ht="15" x14ac:dyDescent="0.25">
      <c r="B2416" t="s">
        <v>2102</v>
      </c>
      <c r="C2416" t="s">
        <v>2103</v>
      </c>
      <c r="D2416" t="str">
        <f>HYPERLINK("https://rhld.insurance.arkansas.gov/NPILookup?Npi=1285689091","1285689091")</f>
        <v>1285689091</v>
      </c>
      <c r="E2416" t="s">
        <v>2472</v>
      </c>
      <c r="F2416" t="s">
        <v>12</v>
      </c>
      <c r="G2416" s="20">
        <v>1</v>
      </c>
      <c r="H2416" t="s">
        <v>4349</v>
      </c>
      <c r="I2416" t="s">
        <v>4357</v>
      </c>
      <c r="J2416" s="9"/>
      <c r="K2416" s="9"/>
      <c r="L2416" s="9"/>
    </row>
    <row r="2417" spans="2:12" ht="15" x14ac:dyDescent="0.25">
      <c r="B2417" t="s">
        <v>2102</v>
      </c>
      <c r="C2417" t="s">
        <v>2103</v>
      </c>
      <c r="D2417" t="str">
        <f>HYPERLINK("https://rhld.insurance.arkansas.gov/NPILookup?Npi=1285741983","1285741983")</f>
        <v>1285741983</v>
      </c>
      <c r="E2417" t="s">
        <v>529</v>
      </c>
      <c r="F2417" t="s">
        <v>12</v>
      </c>
      <c r="G2417" s="20">
        <v>1</v>
      </c>
      <c r="H2417" t="s">
        <v>4338</v>
      </c>
      <c r="I2417" t="s">
        <v>4357</v>
      </c>
      <c r="J2417" s="9"/>
      <c r="K2417" s="9"/>
      <c r="L2417" s="9"/>
    </row>
    <row r="2418" spans="2:12" ht="15" x14ac:dyDescent="0.25">
      <c r="B2418" t="s">
        <v>2102</v>
      </c>
      <c r="C2418" t="s">
        <v>2103</v>
      </c>
      <c r="D2418" t="str">
        <f>HYPERLINK("https://rhld.insurance.arkansas.gov/NPILookup?Npi=1285837708","1285837708")</f>
        <v>1285837708</v>
      </c>
      <c r="E2418" t="s">
        <v>2474</v>
      </c>
      <c r="F2418" t="s">
        <v>12</v>
      </c>
      <c r="G2418" s="20">
        <v>1</v>
      </c>
      <c r="H2418" t="s">
        <v>4349</v>
      </c>
      <c r="I2418" t="s">
        <v>4357</v>
      </c>
      <c r="J2418" s="9"/>
      <c r="K2418" s="9"/>
      <c r="L2418" s="9"/>
    </row>
    <row r="2419" spans="2:12" ht="15" x14ac:dyDescent="0.25">
      <c r="B2419" t="s">
        <v>2102</v>
      </c>
      <c r="C2419" t="s">
        <v>2103</v>
      </c>
      <c r="D2419" t="str">
        <f>HYPERLINK("https://rhld.insurance.arkansas.gov/NPILookup?Npi=1285865154","1285865154")</f>
        <v>1285865154</v>
      </c>
      <c r="E2419" t="s">
        <v>2475</v>
      </c>
      <c r="F2419" t="s">
        <v>12</v>
      </c>
      <c r="G2419" s="20">
        <v>1</v>
      </c>
      <c r="H2419" t="s">
        <v>139</v>
      </c>
      <c r="I2419" t="s">
        <v>32</v>
      </c>
      <c r="J2419" s="9"/>
      <c r="K2419" s="9"/>
      <c r="L2419" s="9"/>
    </row>
    <row r="2420" spans="2:12" ht="15" x14ac:dyDescent="0.25">
      <c r="B2420" t="s">
        <v>2102</v>
      </c>
      <c r="C2420" t="s">
        <v>2103</v>
      </c>
      <c r="D2420" t="str">
        <f>HYPERLINK("https://rhld.insurance.arkansas.gov/NPILookup?Npi=1285929463","1285929463")</f>
        <v>1285929463</v>
      </c>
      <c r="E2420" t="s">
        <v>2476</v>
      </c>
      <c r="F2420" t="s">
        <v>12</v>
      </c>
      <c r="G2420" s="20">
        <v>1</v>
      </c>
      <c r="H2420" t="s">
        <v>4338</v>
      </c>
      <c r="I2420" t="s">
        <v>32</v>
      </c>
      <c r="J2420" s="9"/>
      <c r="K2420" s="9"/>
      <c r="L2420" s="9"/>
    </row>
    <row r="2421" spans="2:12" ht="15" x14ac:dyDescent="0.25">
      <c r="B2421" t="s">
        <v>2102</v>
      </c>
      <c r="C2421" t="s">
        <v>2103</v>
      </c>
      <c r="D2421" t="str">
        <f>HYPERLINK("https://rhld.insurance.arkansas.gov/NPILookup?Npi=1285995977","1285995977")</f>
        <v>1285995977</v>
      </c>
      <c r="E2421" t="s">
        <v>2477</v>
      </c>
      <c r="F2421" t="s">
        <v>12</v>
      </c>
      <c r="G2421" s="20">
        <v>1</v>
      </c>
      <c r="H2421" t="s">
        <v>4349</v>
      </c>
      <c r="I2421" t="s">
        <v>32</v>
      </c>
      <c r="J2421" s="9"/>
      <c r="K2421" s="9"/>
      <c r="L2421" s="9"/>
    </row>
    <row r="2422" spans="2:12" ht="15" x14ac:dyDescent="0.25">
      <c r="B2422" t="s">
        <v>2102</v>
      </c>
      <c r="C2422" t="s">
        <v>2103</v>
      </c>
      <c r="D2422" t="str">
        <f>HYPERLINK("https://rhld.insurance.arkansas.gov/NPILookup?Npi=1295001600","1295001600")</f>
        <v>1295001600</v>
      </c>
      <c r="E2422" t="s">
        <v>2478</v>
      </c>
      <c r="F2422" t="s">
        <v>12</v>
      </c>
      <c r="G2422" s="20">
        <v>1</v>
      </c>
      <c r="H2422" t="s">
        <v>4338</v>
      </c>
      <c r="I2422" t="s">
        <v>32</v>
      </c>
      <c r="J2422" s="9"/>
      <c r="K2422" s="9"/>
      <c r="L2422" s="9"/>
    </row>
    <row r="2423" spans="2:12" ht="15" x14ac:dyDescent="0.25">
      <c r="B2423" t="s">
        <v>2102</v>
      </c>
      <c r="C2423" t="s">
        <v>2103</v>
      </c>
      <c r="D2423" t="str">
        <f>HYPERLINK("https://rhld.insurance.arkansas.gov/NPILookup?Npi=1295295806","1295295806")</f>
        <v>1295295806</v>
      </c>
      <c r="E2423" t="s">
        <v>2480</v>
      </c>
      <c r="F2423" t="s">
        <v>12</v>
      </c>
      <c r="G2423" s="20">
        <v>1</v>
      </c>
      <c r="H2423" t="s">
        <v>4349</v>
      </c>
      <c r="I2423" t="s">
        <v>32</v>
      </c>
      <c r="J2423" s="9"/>
      <c r="K2423" s="9"/>
      <c r="L2423" s="9"/>
    </row>
    <row r="2424" spans="2:12" ht="15" x14ac:dyDescent="0.25">
      <c r="B2424" t="s">
        <v>2102</v>
      </c>
      <c r="C2424" t="s">
        <v>2103</v>
      </c>
      <c r="D2424" t="str">
        <f>HYPERLINK("https://rhld.insurance.arkansas.gov/NPILookup?Npi=1295372290","1295372290")</f>
        <v>1295372290</v>
      </c>
      <c r="E2424" t="s">
        <v>2481</v>
      </c>
      <c r="F2424" t="s">
        <v>12</v>
      </c>
      <c r="G2424" s="20">
        <v>1</v>
      </c>
      <c r="H2424" t="s">
        <v>4338</v>
      </c>
      <c r="I2424" t="s">
        <v>32</v>
      </c>
      <c r="J2424" s="9"/>
      <c r="K2424" s="9"/>
      <c r="L2424" s="9"/>
    </row>
    <row r="2425" spans="2:12" ht="15" x14ac:dyDescent="0.25">
      <c r="B2425" t="s">
        <v>2102</v>
      </c>
      <c r="C2425" t="s">
        <v>2103</v>
      </c>
      <c r="D2425" t="str">
        <f>HYPERLINK("https://rhld.insurance.arkansas.gov/NPILookup?Npi=1295386613","1295386613")</f>
        <v>1295386613</v>
      </c>
      <c r="E2425" t="s">
        <v>2482</v>
      </c>
      <c r="F2425" t="s">
        <v>12</v>
      </c>
      <c r="G2425" s="20">
        <v>1</v>
      </c>
      <c r="H2425" t="s">
        <v>4338</v>
      </c>
      <c r="I2425" t="s">
        <v>32</v>
      </c>
      <c r="J2425" s="9"/>
      <c r="K2425" s="9"/>
      <c r="L2425" s="9"/>
    </row>
    <row r="2426" spans="2:12" ht="15" x14ac:dyDescent="0.25">
      <c r="B2426" t="s">
        <v>2102</v>
      </c>
      <c r="C2426" t="s">
        <v>2103</v>
      </c>
      <c r="D2426" t="str">
        <f>HYPERLINK("https://rhld.insurance.arkansas.gov/NPILookup?Npi=1295535623","1295535623")</f>
        <v>1295535623</v>
      </c>
      <c r="E2426" t="s">
        <v>2483</v>
      </c>
      <c r="F2426" t="s">
        <v>13</v>
      </c>
      <c r="G2426" s="20">
        <v>1</v>
      </c>
      <c r="H2426" t="s">
        <v>4357</v>
      </c>
      <c r="I2426" t="s">
        <v>4357</v>
      </c>
      <c r="J2426" s="9"/>
      <c r="K2426" s="9"/>
      <c r="L2426" s="9"/>
    </row>
    <row r="2427" spans="2:12" ht="15" x14ac:dyDescent="0.25">
      <c r="B2427" t="s">
        <v>2102</v>
      </c>
      <c r="C2427" t="s">
        <v>2103</v>
      </c>
      <c r="D2427" t="str">
        <f>HYPERLINK("https://rhld.insurance.arkansas.gov/NPILookup?Npi=1295538247","1295538247")</f>
        <v>1295538247</v>
      </c>
      <c r="E2427" t="s">
        <v>2062</v>
      </c>
      <c r="F2427" t="s">
        <v>13</v>
      </c>
      <c r="G2427" s="20">
        <v>1</v>
      </c>
      <c r="H2427" t="s">
        <v>4357</v>
      </c>
      <c r="I2427" t="s">
        <v>4357</v>
      </c>
      <c r="J2427" s="9"/>
      <c r="K2427" s="9"/>
      <c r="L2427" s="9"/>
    </row>
    <row r="2428" spans="2:12" ht="15" x14ac:dyDescent="0.25">
      <c r="B2428" t="s">
        <v>2102</v>
      </c>
      <c r="C2428" t="s">
        <v>2103</v>
      </c>
      <c r="D2428" t="str">
        <f>HYPERLINK("https://rhld.insurance.arkansas.gov/NPILookup?Npi=1295553782","1295553782")</f>
        <v>1295553782</v>
      </c>
      <c r="E2428" t="s">
        <v>1681</v>
      </c>
      <c r="F2428" t="s">
        <v>13</v>
      </c>
      <c r="G2428" s="20">
        <v>1</v>
      </c>
      <c r="H2428" t="s">
        <v>87</v>
      </c>
      <c r="I2428" t="s">
        <v>4357</v>
      </c>
      <c r="J2428" s="9"/>
      <c r="K2428" s="9"/>
      <c r="L2428" s="9"/>
    </row>
    <row r="2429" spans="2:12" ht="15" x14ac:dyDescent="0.25">
      <c r="B2429" t="s">
        <v>2102</v>
      </c>
      <c r="C2429" t="s">
        <v>2103</v>
      </c>
      <c r="D2429" t="str">
        <f>HYPERLINK("https://rhld.insurance.arkansas.gov/NPILookup?Npi=1295770709","1295770709")</f>
        <v>1295770709</v>
      </c>
      <c r="E2429" t="s">
        <v>4524</v>
      </c>
      <c r="F2429" t="s">
        <v>12</v>
      </c>
      <c r="G2429" s="20">
        <v>1</v>
      </c>
      <c r="H2429" t="s">
        <v>4349</v>
      </c>
      <c r="I2429" t="s">
        <v>4357</v>
      </c>
      <c r="J2429" s="9"/>
      <c r="K2429" s="9"/>
      <c r="L2429" s="9"/>
    </row>
    <row r="2430" spans="2:12" ht="15" x14ac:dyDescent="0.25">
      <c r="B2430" t="s">
        <v>2102</v>
      </c>
      <c r="C2430" t="s">
        <v>2103</v>
      </c>
      <c r="D2430" t="str">
        <f>HYPERLINK("https://rhld.insurance.arkansas.gov/NPILookup?Npi=1295785095","1295785095")</f>
        <v>1295785095</v>
      </c>
      <c r="E2430" t="s">
        <v>4525</v>
      </c>
      <c r="F2430" t="s">
        <v>12</v>
      </c>
      <c r="G2430" s="20">
        <v>1</v>
      </c>
      <c r="H2430" t="s">
        <v>4349</v>
      </c>
      <c r="I2430" t="s">
        <v>32</v>
      </c>
      <c r="J2430" s="9"/>
      <c r="K2430" s="9"/>
      <c r="L2430" s="9"/>
    </row>
    <row r="2431" spans="2:12" ht="15" x14ac:dyDescent="0.25">
      <c r="B2431" t="s">
        <v>2102</v>
      </c>
      <c r="C2431" t="s">
        <v>2103</v>
      </c>
      <c r="D2431" t="str">
        <f>HYPERLINK("https://rhld.insurance.arkansas.gov/NPILookup?Npi=1295798510","1295798510")</f>
        <v>1295798510</v>
      </c>
      <c r="E2431" t="s">
        <v>538</v>
      </c>
      <c r="F2431" t="s">
        <v>12</v>
      </c>
      <c r="G2431" s="20">
        <v>1</v>
      </c>
      <c r="H2431" t="s">
        <v>4338</v>
      </c>
      <c r="I2431" t="s">
        <v>32</v>
      </c>
      <c r="J2431" s="9"/>
      <c r="K2431" s="9"/>
      <c r="L2431" s="9"/>
    </row>
    <row r="2432" spans="2:12" ht="15" x14ac:dyDescent="0.25">
      <c r="B2432" t="s">
        <v>2102</v>
      </c>
      <c r="C2432" t="s">
        <v>2103</v>
      </c>
      <c r="D2432" t="str">
        <f>HYPERLINK("https://rhld.insurance.arkansas.gov/NPILookup?Npi=1295807733","1295807733")</f>
        <v>1295807733</v>
      </c>
      <c r="E2432" t="s">
        <v>4526</v>
      </c>
      <c r="F2432" t="s">
        <v>12</v>
      </c>
      <c r="G2432" s="20">
        <v>1</v>
      </c>
      <c r="H2432" t="s">
        <v>4349</v>
      </c>
      <c r="I2432" t="s">
        <v>32</v>
      </c>
      <c r="J2432" s="9"/>
      <c r="K2432" s="9"/>
      <c r="L2432" s="9"/>
    </row>
    <row r="2433" spans="2:12" ht="15" x14ac:dyDescent="0.25">
      <c r="B2433" t="s">
        <v>2102</v>
      </c>
      <c r="C2433" t="s">
        <v>2103</v>
      </c>
      <c r="D2433" t="str">
        <f>HYPERLINK("https://rhld.insurance.arkansas.gov/NPILookup?Npi=1295925840","1295925840")</f>
        <v>1295925840</v>
      </c>
      <c r="E2433" t="s">
        <v>4527</v>
      </c>
      <c r="F2433" t="s">
        <v>12</v>
      </c>
      <c r="G2433" s="20">
        <v>1</v>
      </c>
      <c r="H2433" t="s">
        <v>4349</v>
      </c>
      <c r="I2433" t="s">
        <v>4357</v>
      </c>
      <c r="J2433" s="9"/>
      <c r="K2433" s="9"/>
      <c r="L2433" s="9"/>
    </row>
    <row r="2434" spans="2:12" ht="15" x14ac:dyDescent="0.25">
      <c r="B2434" t="s">
        <v>2102</v>
      </c>
      <c r="C2434" t="s">
        <v>2103</v>
      </c>
      <c r="D2434" t="str">
        <f>HYPERLINK("https://rhld.insurance.arkansas.gov/NPILookup?Npi=1295935161","1295935161")</f>
        <v>1295935161</v>
      </c>
      <c r="E2434" t="s">
        <v>2484</v>
      </c>
      <c r="F2434" t="s">
        <v>12</v>
      </c>
      <c r="G2434" s="20">
        <v>1</v>
      </c>
      <c r="H2434" t="s">
        <v>4338</v>
      </c>
      <c r="I2434" t="s">
        <v>32</v>
      </c>
      <c r="J2434" s="9"/>
      <c r="K2434" s="9"/>
      <c r="L2434" s="9"/>
    </row>
    <row r="2435" spans="2:12" ht="15" x14ac:dyDescent="0.25">
      <c r="B2435" t="s">
        <v>2102</v>
      </c>
      <c r="C2435" t="s">
        <v>2103</v>
      </c>
      <c r="D2435" t="str">
        <f>HYPERLINK("https://rhld.insurance.arkansas.gov/NPILookup?Npi=1295942530","1295942530")</f>
        <v>1295942530</v>
      </c>
      <c r="E2435" t="s">
        <v>2485</v>
      </c>
      <c r="F2435" t="s">
        <v>12</v>
      </c>
      <c r="G2435" s="20">
        <v>1</v>
      </c>
      <c r="H2435" t="s">
        <v>4349</v>
      </c>
      <c r="I2435" t="s">
        <v>4357</v>
      </c>
      <c r="J2435" s="9"/>
      <c r="K2435" s="9"/>
      <c r="L2435" s="9"/>
    </row>
    <row r="2436" spans="2:12" ht="15" x14ac:dyDescent="0.25">
      <c r="B2436" t="s">
        <v>2102</v>
      </c>
      <c r="C2436" t="s">
        <v>2103</v>
      </c>
      <c r="D2436" t="str">
        <f>HYPERLINK("https://rhld.insurance.arkansas.gov/NPILookup?Npi=1295990059","1295990059")</f>
        <v>1295990059</v>
      </c>
      <c r="E2436" t="s">
        <v>543</v>
      </c>
      <c r="F2436" t="s">
        <v>12</v>
      </c>
      <c r="G2436" s="20">
        <v>1</v>
      </c>
      <c r="H2436" t="s">
        <v>4338</v>
      </c>
      <c r="I2436" t="s">
        <v>4357</v>
      </c>
      <c r="J2436" s="9"/>
      <c r="K2436" s="9"/>
      <c r="L2436" s="9"/>
    </row>
    <row r="2437" spans="2:12" ht="15" x14ac:dyDescent="0.25">
      <c r="B2437" t="s">
        <v>2102</v>
      </c>
      <c r="C2437" t="s">
        <v>2103</v>
      </c>
      <c r="D2437" t="str">
        <f>HYPERLINK("https://rhld.insurance.arkansas.gov/NPILookup?Npi=1306104385","1306104385")</f>
        <v>1306104385</v>
      </c>
      <c r="E2437" t="s">
        <v>2486</v>
      </c>
      <c r="F2437" t="s">
        <v>12</v>
      </c>
      <c r="G2437" s="20">
        <v>1</v>
      </c>
      <c r="H2437" t="s">
        <v>4349</v>
      </c>
      <c r="I2437" t="s">
        <v>4357</v>
      </c>
      <c r="J2437" s="9"/>
      <c r="K2437" s="9"/>
      <c r="L2437" s="9"/>
    </row>
    <row r="2438" spans="2:12" ht="15" x14ac:dyDescent="0.25">
      <c r="B2438" t="s">
        <v>2102</v>
      </c>
      <c r="C2438" t="s">
        <v>2103</v>
      </c>
      <c r="D2438" t="str">
        <f>HYPERLINK("https://rhld.insurance.arkansas.gov/NPILookup?Npi=1306205885","1306205885")</f>
        <v>1306205885</v>
      </c>
      <c r="E2438" t="s">
        <v>2487</v>
      </c>
      <c r="F2438" t="s">
        <v>13</v>
      </c>
      <c r="G2438" s="20">
        <v>1</v>
      </c>
      <c r="H2438" t="s">
        <v>87</v>
      </c>
      <c r="I2438" t="s">
        <v>32</v>
      </c>
      <c r="J2438" s="9"/>
      <c r="K2438" s="9"/>
      <c r="L2438" s="9"/>
    </row>
    <row r="2439" spans="2:12" ht="15" x14ac:dyDescent="0.25">
      <c r="B2439" t="s">
        <v>2102</v>
      </c>
      <c r="C2439" t="s">
        <v>2103</v>
      </c>
      <c r="D2439" t="str">
        <f>HYPERLINK("https://rhld.insurance.arkansas.gov/NPILookup?Npi=1306208418","1306208418")</f>
        <v>1306208418</v>
      </c>
      <c r="E2439" t="s">
        <v>2488</v>
      </c>
      <c r="F2439" t="s">
        <v>12</v>
      </c>
      <c r="G2439" s="20">
        <v>1</v>
      </c>
      <c r="H2439" t="s">
        <v>4349</v>
      </c>
      <c r="I2439" t="s">
        <v>32</v>
      </c>
      <c r="J2439" s="9"/>
      <c r="K2439" s="9"/>
      <c r="L2439" s="9"/>
    </row>
    <row r="2440" spans="2:12" ht="15" x14ac:dyDescent="0.25">
      <c r="B2440" t="s">
        <v>2102</v>
      </c>
      <c r="C2440" t="s">
        <v>2103</v>
      </c>
      <c r="D2440" t="str">
        <f>HYPERLINK("https://rhld.insurance.arkansas.gov/NPILookup?Npi=1306220736","1306220736")</f>
        <v>1306220736</v>
      </c>
      <c r="E2440" t="s">
        <v>4528</v>
      </c>
      <c r="F2440" t="s">
        <v>12</v>
      </c>
      <c r="G2440" s="20">
        <v>1</v>
      </c>
      <c r="H2440" t="s">
        <v>4349</v>
      </c>
      <c r="I2440" t="s">
        <v>32</v>
      </c>
      <c r="J2440" s="9"/>
      <c r="K2440" s="9"/>
      <c r="L2440" s="9"/>
    </row>
    <row r="2441" spans="2:12" ht="15" x14ac:dyDescent="0.25">
      <c r="B2441" t="s">
        <v>2102</v>
      </c>
      <c r="C2441" t="s">
        <v>2103</v>
      </c>
      <c r="D2441" t="str">
        <f>HYPERLINK("https://rhld.insurance.arkansas.gov/NPILookup?Npi=1306226147","1306226147")</f>
        <v>1306226147</v>
      </c>
      <c r="E2441" t="s">
        <v>2489</v>
      </c>
      <c r="F2441" t="s">
        <v>12</v>
      </c>
      <c r="G2441" s="20">
        <v>1</v>
      </c>
      <c r="H2441" t="s">
        <v>4349</v>
      </c>
      <c r="I2441" t="s">
        <v>32</v>
      </c>
      <c r="J2441" s="9"/>
      <c r="K2441" s="9"/>
      <c r="L2441" s="9"/>
    </row>
    <row r="2442" spans="2:12" ht="15" x14ac:dyDescent="0.25">
      <c r="B2442" t="s">
        <v>2102</v>
      </c>
      <c r="C2442" t="s">
        <v>2103</v>
      </c>
      <c r="D2442" t="str">
        <f>HYPERLINK("https://rhld.insurance.arkansas.gov/NPILookup?Npi=1306291976","1306291976")</f>
        <v>1306291976</v>
      </c>
      <c r="E2442" t="s">
        <v>2491</v>
      </c>
      <c r="F2442" t="s">
        <v>12</v>
      </c>
      <c r="G2442" s="20">
        <v>1</v>
      </c>
      <c r="H2442" t="s">
        <v>4349</v>
      </c>
      <c r="I2442" t="s">
        <v>4357</v>
      </c>
      <c r="J2442" s="9"/>
      <c r="K2442" s="9"/>
      <c r="L2442" s="9"/>
    </row>
    <row r="2443" spans="2:12" ht="15" x14ac:dyDescent="0.25">
      <c r="B2443" t="s">
        <v>2102</v>
      </c>
      <c r="C2443" t="s">
        <v>2103</v>
      </c>
      <c r="D2443" t="str">
        <f>HYPERLINK("https://rhld.insurance.arkansas.gov/NPILookup?Npi=1306309059","1306309059")</f>
        <v>1306309059</v>
      </c>
      <c r="E2443" t="s">
        <v>2492</v>
      </c>
      <c r="F2443" t="s">
        <v>12</v>
      </c>
      <c r="G2443" s="20">
        <v>1</v>
      </c>
      <c r="H2443" t="s">
        <v>4349</v>
      </c>
      <c r="I2443" t="s">
        <v>32</v>
      </c>
      <c r="J2443" s="9"/>
      <c r="K2443" s="9"/>
      <c r="L2443" s="9"/>
    </row>
    <row r="2444" spans="2:12" ht="15" x14ac:dyDescent="0.25">
      <c r="B2444" t="s">
        <v>2102</v>
      </c>
      <c r="C2444" t="s">
        <v>2103</v>
      </c>
      <c r="D2444" t="str">
        <f>HYPERLINK("https://rhld.insurance.arkansas.gov/NPILookup?Npi=1306378062","1306378062")</f>
        <v>1306378062</v>
      </c>
      <c r="E2444" t="s">
        <v>2494</v>
      </c>
      <c r="F2444" t="s">
        <v>12</v>
      </c>
      <c r="G2444" s="20">
        <v>1</v>
      </c>
      <c r="H2444" t="s">
        <v>4349</v>
      </c>
      <c r="I2444" t="s">
        <v>32</v>
      </c>
      <c r="J2444" s="9"/>
      <c r="K2444" s="9"/>
      <c r="L2444" s="9"/>
    </row>
    <row r="2445" spans="2:12" ht="15" x14ac:dyDescent="0.25">
      <c r="B2445" t="s">
        <v>2102</v>
      </c>
      <c r="C2445" t="s">
        <v>2103</v>
      </c>
      <c r="D2445" t="str">
        <f>HYPERLINK("https://rhld.insurance.arkansas.gov/NPILookup?Npi=1306388939","1306388939")</f>
        <v>1306388939</v>
      </c>
      <c r="E2445" t="s">
        <v>2063</v>
      </c>
      <c r="F2445" t="s">
        <v>13</v>
      </c>
      <c r="G2445" s="20">
        <v>1</v>
      </c>
      <c r="H2445" t="s">
        <v>4357</v>
      </c>
      <c r="I2445" t="s">
        <v>4357</v>
      </c>
      <c r="J2445" s="9"/>
      <c r="K2445" s="9"/>
      <c r="L2445" s="9"/>
    </row>
    <row r="2446" spans="2:12" ht="15" x14ac:dyDescent="0.25">
      <c r="B2446" t="s">
        <v>2102</v>
      </c>
      <c r="C2446" t="s">
        <v>2103</v>
      </c>
      <c r="D2446" t="str">
        <f>HYPERLINK("https://rhld.insurance.arkansas.gov/NPILookup?Npi=1306417324","1306417324")</f>
        <v>1306417324</v>
      </c>
      <c r="E2446" t="s">
        <v>2495</v>
      </c>
      <c r="F2446" t="s">
        <v>12</v>
      </c>
      <c r="G2446" s="20">
        <v>1</v>
      </c>
      <c r="H2446" t="s">
        <v>4338</v>
      </c>
      <c r="I2446" t="s">
        <v>32</v>
      </c>
      <c r="J2446" s="9"/>
      <c r="K2446" s="9"/>
      <c r="L2446" s="9"/>
    </row>
    <row r="2447" spans="2:12" ht="15" x14ac:dyDescent="0.25">
      <c r="B2447" t="s">
        <v>2102</v>
      </c>
      <c r="C2447" t="s">
        <v>2103</v>
      </c>
      <c r="D2447" t="str">
        <f>HYPERLINK("https://rhld.insurance.arkansas.gov/NPILookup?Npi=1306449566","1306449566")</f>
        <v>1306449566</v>
      </c>
      <c r="E2447" t="s">
        <v>2496</v>
      </c>
      <c r="F2447" t="s">
        <v>12</v>
      </c>
      <c r="G2447" s="20">
        <v>1</v>
      </c>
      <c r="H2447" t="s">
        <v>4338</v>
      </c>
      <c r="I2447" t="s">
        <v>32</v>
      </c>
      <c r="J2447" s="9"/>
      <c r="K2447" s="9"/>
      <c r="L2447" s="9"/>
    </row>
    <row r="2448" spans="2:12" ht="15" x14ac:dyDescent="0.25">
      <c r="B2448" t="s">
        <v>2102</v>
      </c>
      <c r="C2448" t="s">
        <v>2103</v>
      </c>
      <c r="D2448" t="str">
        <f>HYPERLINK("https://rhld.insurance.arkansas.gov/NPILookup?Npi=1306469556","1306469556")</f>
        <v>1306469556</v>
      </c>
      <c r="E2448" t="s">
        <v>2497</v>
      </c>
      <c r="F2448" t="s">
        <v>13</v>
      </c>
      <c r="G2448" s="20">
        <v>1</v>
      </c>
      <c r="H2448" t="s">
        <v>4357</v>
      </c>
      <c r="I2448" t="s">
        <v>4357</v>
      </c>
      <c r="J2448" s="9"/>
      <c r="K2448" s="9"/>
      <c r="L2448" s="9"/>
    </row>
    <row r="2449" spans="2:12" ht="15" x14ac:dyDescent="0.25">
      <c r="B2449" t="s">
        <v>2102</v>
      </c>
      <c r="C2449" t="s">
        <v>2103</v>
      </c>
      <c r="D2449" t="str">
        <f>HYPERLINK("https://rhld.insurance.arkansas.gov/NPILookup?Npi=1306815626","1306815626")</f>
        <v>1306815626</v>
      </c>
      <c r="E2449" t="s">
        <v>546</v>
      </c>
      <c r="F2449" t="s">
        <v>12</v>
      </c>
      <c r="G2449" s="20">
        <v>1</v>
      </c>
      <c r="H2449" t="s">
        <v>4338</v>
      </c>
      <c r="I2449" t="s">
        <v>32</v>
      </c>
      <c r="J2449" s="9"/>
      <c r="K2449" s="9"/>
      <c r="L2449" s="9"/>
    </row>
    <row r="2450" spans="2:12" ht="15" x14ac:dyDescent="0.25">
      <c r="B2450" t="s">
        <v>2102</v>
      </c>
      <c r="C2450" t="s">
        <v>2103</v>
      </c>
      <c r="D2450" t="str">
        <f>HYPERLINK("https://rhld.insurance.arkansas.gov/NPILookup?Npi=1306827571","1306827571")</f>
        <v>1306827571</v>
      </c>
      <c r="E2450" t="s">
        <v>4529</v>
      </c>
      <c r="F2450" t="s">
        <v>12</v>
      </c>
      <c r="G2450" s="20">
        <v>1</v>
      </c>
      <c r="H2450" t="s">
        <v>4349</v>
      </c>
      <c r="I2450" t="s">
        <v>32</v>
      </c>
      <c r="J2450" s="9"/>
      <c r="K2450" s="9"/>
      <c r="L2450" s="9"/>
    </row>
    <row r="2451" spans="2:12" ht="15" x14ac:dyDescent="0.25">
      <c r="B2451" t="s">
        <v>2102</v>
      </c>
      <c r="C2451" t="s">
        <v>2103</v>
      </c>
      <c r="D2451" t="str">
        <f>HYPERLINK("https://rhld.insurance.arkansas.gov/NPILookup?Npi=1306853601","1306853601")</f>
        <v>1306853601</v>
      </c>
      <c r="E2451" t="s">
        <v>2498</v>
      </c>
      <c r="F2451" t="s">
        <v>12</v>
      </c>
      <c r="G2451" s="20">
        <v>1</v>
      </c>
      <c r="H2451" t="s">
        <v>139</v>
      </c>
      <c r="I2451" t="s">
        <v>32</v>
      </c>
      <c r="J2451" s="9"/>
      <c r="K2451" s="9"/>
      <c r="L2451" s="9"/>
    </row>
    <row r="2452" spans="2:12" ht="15" x14ac:dyDescent="0.25">
      <c r="B2452" t="s">
        <v>2102</v>
      </c>
      <c r="C2452" t="s">
        <v>2103</v>
      </c>
      <c r="D2452" t="str">
        <f>HYPERLINK("https://rhld.insurance.arkansas.gov/NPILookup?Npi=1306868674","1306868674")</f>
        <v>1306868674</v>
      </c>
      <c r="E2452" t="s">
        <v>2499</v>
      </c>
      <c r="F2452" t="s">
        <v>12</v>
      </c>
      <c r="G2452" s="20">
        <v>1</v>
      </c>
      <c r="H2452" t="s">
        <v>4338</v>
      </c>
      <c r="I2452" t="s">
        <v>32</v>
      </c>
      <c r="J2452" s="9"/>
      <c r="K2452" s="9"/>
      <c r="L2452" s="9"/>
    </row>
    <row r="2453" spans="2:12" ht="15" x14ac:dyDescent="0.25">
      <c r="B2453" t="s">
        <v>2102</v>
      </c>
      <c r="C2453" t="s">
        <v>2103</v>
      </c>
      <c r="D2453" t="str">
        <f>HYPERLINK("https://rhld.insurance.arkansas.gov/NPILookup?Npi=1306892542","1306892542")</f>
        <v>1306892542</v>
      </c>
      <c r="E2453" t="s">
        <v>2500</v>
      </c>
      <c r="F2453" t="s">
        <v>12</v>
      </c>
      <c r="G2453" s="20">
        <v>1</v>
      </c>
      <c r="H2453" t="s">
        <v>139</v>
      </c>
      <c r="I2453" t="s">
        <v>32</v>
      </c>
      <c r="J2453" s="9"/>
      <c r="K2453" s="9"/>
      <c r="L2453" s="9"/>
    </row>
    <row r="2454" spans="2:12" ht="15" x14ac:dyDescent="0.25">
      <c r="B2454" t="s">
        <v>2102</v>
      </c>
      <c r="C2454" t="s">
        <v>2103</v>
      </c>
      <c r="D2454" t="str">
        <f>HYPERLINK("https://rhld.insurance.arkansas.gov/NPILookup?Npi=1306999610","1306999610")</f>
        <v>1306999610</v>
      </c>
      <c r="E2454" t="s">
        <v>2501</v>
      </c>
      <c r="F2454" t="s">
        <v>12</v>
      </c>
      <c r="G2454" s="20">
        <v>1</v>
      </c>
      <c r="H2454" t="s">
        <v>4338</v>
      </c>
      <c r="I2454" t="s">
        <v>4357</v>
      </c>
      <c r="J2454" s="9"/>
      <c r="K2454" s="9"/>
      <c r="L2454" s="9"/>
    </row>
    <row r="2455" spans="2:12" ht="15" x14ac:dyDescent="0.25">
      <c r="B2455" t="s">
        <v>2102</v>
      </c>
      <c r="C2455" t="s">
        <v>2103</v>
      </c>
      <c r="D2455" t="str">
        <f>HYPERLINK("https://rhld.insurance.arkansas.gov/NPILookup?Npi=1316060775","1316060775")</f>
        <v>1316060775</v>
      </c>
      <c r="E2455" t="s">
        <v>2502</v>
      </c>
      <c r="F2455" t="s">
        <v>13</v>
      </c>
      <c r="G2455" s="20">
        <v>1</v>
      </c>
      <c r="H2455" t="s">
        <v>87</v>
      </c>
      <c r="I2455" t="s">
        <v>4357</v>
      </c>
      <c r="J2455" s="9"/>
      <c r="K2455" s="9"/>
      <c r="L2455" s="9"/>
    </row>
    <row r="2456" spans="2:12" ht="15" x14ac:dyDescent="0.25">
      <c r="B2456" t="s">
        <v>2102</v>
      </c>
      <c r="C2456" t="s">
        <v>2103</v>
      </c>
      <c r="D2456" t="str">
        <f>HYPERLINK("https://rhld.insurance.arkansas.gov/NPILookup?Npi=1316102379","1316102379")</f>
        <v>1316102379</v>
      </c>
      <c r="E2456" t="s">
        <v>2503</v>
      </c>
      <c r="F2456" t="s">
        <v>12</v>
      </c>
      <c r="G2456" s="20">
        <v>1</v>
      </c>
      <c r="H2456" t="s">
        <v>139</v>
      </c>
      <c r="I2456" t="s">
        <v>4357</v>
      </c>
      <c r="J2456" s="9"/>
      <c r="K2456" s="9"/>
      <c r="L2456" s="9"/>
    </row>
    <row r="2457" spans="2:12" ht="15" x14ac:dyDescent="0.25">
      <c r="B2457" t="s">
        <v>2102</v>
      </c>
      <c r="C2457" t="s">
        <v>2103</v>
      </c>
      <c r="D2457" t="str">
        <f>HYPERLINK("https://rhld.insurance.arkansas.gov/NPILookup?Npi=1316110927","1316110927")</f>
        <v>1316110927</v>
      </c>
      <c r="E2457" t="s">
        <v>550</v>
      </c>
      <c r="F2457" t="s">
        <v>12</v>
      </c>
      <c r="G2457" s="20">
        <v>1</v>
      </c>
      <c r="H2457" t="s">
        <v>4349</v>
      </c>
      <c r="I2457" t="s">
        <v>4357</v>
      </c>
      <c r="J2457" s="9"/>
      <c r="K2457" s="9"/>
      <c r="L2457" s="9"/>
    </row>
    <row r="2458" spans="2:12" ht="15" x14ac:dyDescent="0.25">
      <c r="B2458" t="s">
        <v>2102</v>
      </c>
      <c r="C2458" t="s">
        <v>2103</v>
      </c>
      <c r="D2458" t="str">
        <f>HYPERLINK("https://rhld.insurance.arkansas.gov/NPILookup?Npi=1316219116","1316219116")</f>
        <v>1316219116</v>
      </c>
      <c r="E2458" t="s">
        <v>2504</v>
      </c>
      <c r="F2458" t="s">
        <v>13</v>
      </c>
      <c r="G2458" s="20">
        <v>1</v>
      </c>
      <c r="H2458" t="s">
        <v>87</v>
      </c>
      <c r="I2458" t="s">
        <v>4357</v>
      </c>
      <c r="J2458" s="9"/>
      <c r="K2458" s="9"/>
      <c r="L2458" s="9"/>
    </row>
    <row r="2459" spans="2:12" ht="15" x14ac:dyDescent="0.25">
      <c r="B2459" t="s">
        <v>2102</v>
      </c>
      <c r="C2459" t="s">
        <v>2103</v>
      </c>
      <c r="D2459" t="str">
        <f>HYPERLINK("https://rhld.insurance.arkansas.gov/NPILookup?Npi=1316502693","1316502693")</f>
        <v>1316502693</v>
      </c>
      <c r="E2459" t="s">
        <v>2506</v>
      </c>
      <c r="F2459" t="s">
        <v>13</v>
      </c>
      <c r="G2459" s="20">
        <v>1</v>
      </c>
      <c r="H2459" t="s">
        <v>4357</v>
      </c>
      <c r="I2459" t="s">
        <v>4357</v>
      </c>
      <c r="J2459" s="9"/>
      <c r="K2459" s="9"/>
      <c r="L2459" s="9"/>
    </row>
    <row r="2460" spans="2:12" ht="15" x14ac:dyDescent="0.25">
      <c r="B2460" t="s">
        <v>2102</v>
      </c>
      <c r="C2460" t="s">
        <v>2103</v>
      </c>
      <c r="D2460" t="str">
        <f>HYPERLINK("https://rhld.insurance.arkansas.gov/NPILookup?Npi=1316624455","1316624455")</f>
        <v>1316624455</v>
      </c>
      <c r="E2460" t="s">
        <v>2507</v>
      </c>
      <c r="F2460" t="s">
        <v>12</v>
      </c>
      <c r="G2460" s="20">
        <v>1</v>
      </c>
      <c r="H2460" t="s">
        <v>4338</v>
      </c>
      <c r="I2460" t="s">
        <v>32</v>
      </c>
      <c r="J2460" s="9"/>
      <c r="K2460" s="9"/>
      <c r="L2460" s="9"/>
    </row>
    <row r="2461" spans="2:12" ht="15" x14ac:dyDescent="0.25">
      <c r="B2461" t="s">
        <v>2102</v>
      </c>
      <c r="C2461" t="s">
        <v>2103</v>
      </c>
      <c r="D2461" t="str">
        <f>HYPERLINK("https://rhld.insurance.arkansas.gov/NPILookup?Npi=1316688013","1316688013")</f>
        <v>1316688013</v>
      </c>
      <c r="E2461" t="s">
        <v>2508</v>
      </c>
      <c r="F2461" t="s">
        <v>13</v>
      </c>
      <c r="G2461" s="20">
        <v>1</v>
      </c>
      <c r="H2461" t="s">
        <v>4357</v>
      </c>
      <c r="I2461" t="s">
        <v>4357</v>
      </c>
      <c r="J2461" s="9"/>
      <c r="K2461" s="9"/>
      <c r="L2461" s="9"/>
    </row>
    <row r="2462" spans="2:12" ht="15" x14ac:dyDescent="0.25">
      <c r="B2462" t="s">
        <v>2102</v>
      </c>
      <c r="C2462" t="s">
        <v>2103</v>
      </c>
      <c r="D2462" t="str">
        <f>HYPERLINK("https://rhld.insurance.arkansas.gov/NPILookup?Npi=1316699028","1316699028")</f>
        <v>1316699028</v>
      </c>
      <c r="E2462" t="s">
        <v>2509</v>
      </c>
      <c r="F2462" t="s">
        <v>12</v>
      </c>
      <c r="G2462" s="20">
        <v>1</v>
      </c>
      <c r="H2462" t="s">
        <v>4338</v>
      </c>
      <c r="I2462" t="s">
        <v>32</v>
      </c>
      <c r="J2462" s="9"/>
      <c r="K2462" s="9"/>
      <c r="L2462" s="9"/>
    </row>
    <row r="2463" spans="2:12" ht="15" x14ac:dyDescent="0.25">
      <c r="B2463" t="s">
        <v>2102</v>
      </c>
      <c r="C2463" t="s">
        <v>2103</v>
      </c>
      <c r="D2463" t="str">
        <f>HYPERLINK("https://rhld.insurance.arkansas.gov/NPILookup?Npi=1316788060","1316788060")</f>
        <v>1316788060</v>
      </c>
      <c r="E2463" t="s">
        <v>2510</v>
      </c>
      <c r="F2463" t="s">
        <v>13</v>
      </c>
      <c r="G2463" s="20">
        <v>1</v>
      </c>
      <c r="H2463" t="s">
        <v>4357</v>
      </c>
      <c r="I2463" t="s">
        <v>4357</v>
      </c>
      <c r="J2463" s="9"/>
      <c r="K2463" s="9"/>
      <c r="L2463" s="9"/>
    </row>
    <row r="2464" spans="2:12" ht="15" x14ac:dyDescent="0.25">
      <c r="B2464" t="s">
        <v>2102</v>
      </c>
      <c r="C2464" t="s">
        <v>2103</v>
      </c>
      <c r="D2464" t="str">
        <f>HYPERLINK("https://rhld.insurance.arkansas.gov/NPILookup?Npi=1316788276","1316788276")</f>
        <v>1316788276</v>
      </c>
      <c r="E2464" t="s">
        <v>2511</v>
      </c>
      <c r="F2464" t="s">
        <v>13</v>
      </c>
      <c r="G2464" s="20">
        <v>1</v>
      </c>
      <c r="H2464" t="s">
        <v>4357</v>
      </c>
      <c r="I2464" t="s">
        <v>4357</v>
      </c>
      <c r="J2464" s="9"/>
      <c r="K2464" s="9"/>
      <c r="L2464" s="9"/>
    </row>
    <row r="2465" spans="2:12" ht="15" x14ac:dyDescent="0.25">
      <c r="B2465" t="s">
        <v>2102</v>
      </c>
      <c r="C2465" t="s">
        <v>2103</v>
      </c>
      <c r="D2465" t="str">
        <f>HYPERLINK("https://rhld.insurance.arkansas.gov/NPILookup?Npi=1316830334","1316830334")</f>
        <v>1316830334</v>
      </c>
      <c r="E2465" t="s">
        <v>2064</v>
      </c>
      <c r="F2465" t="s">
        <v>13</v>
      </c>
      <c r="G2465" s="20">
        <v>1</v>
      </c>
      <c r="H2465" t="s">
        <v>4357</v>
      </c>
      <c r="I2465" t="s">
        <v>4357</v>
      </c>
      <c r="J2465" s="9"/>
      <c r="K2465" s="9"/>
      <c r="L2465" s="9"/>
    </row>
    <row r="2466" spans="2:12" ht="15" x14ac:dyDescent="0.25">
      <c r="B2466" t="s">
        <v>2102</v>
      </c>
      <c r="C2466" t="s">
        <v>2103</v>
      </c>
      <c r="D2466" t="str">
        <f>HYPERLINK("https://rhld.insurance.arkansas.gov/NPILookup?Npi=1316904048","1316904048")</f>
        <v>1316904048</v>
      </c>
      <c r="E2466" t="s">
        <v>2512</v>
      </c>
      <c r="F2466" t="s">
        <v>12</v>
      </c>
      <c r="G2466" s="20">
        <v>1</v>
      </c>
      <c r="H2466" t="s">
        <v>4338</v>
      </c>
      <c r="I2466" t="s">
        <v>4357</v>
      </c>
      <c r="J2466" s="9"/>
      <c r="K2466" s="9"/>
      <c r="L2466" s="9"/>
    </row>
    <row r="2467" spans="2:12" ht="15" x14ac:dyDescent="0.25">
      <c r="B2467" t="s">
        <v>2102</v>
      </c>
      <c r="C2467" t="s">
        <v>2103</v>
      </c>
      <c r="D2467" t="str">
        <f>HYPERLINK("https://rhld.insurance.arkansas.gov/NPILookup?Npi=1316915424","1316915424")</f>
        <v>1316915424</v>
      </c>
      <c r="E2467" t="s">
        <v>2513</v>
      </c>
      <c r="F2467" t="s">
        <v>12</v>
      </c>
      <c r="G2467" s="20">
        <v>1</v>
      </c>
      <c r="H2467" t="s">
        <v>4349</v>
      </c>
      <c r="I2467" t="s">
        <v>32</v>
      </c>
      <c r="J2467" s="9"/>
      <c r="K2467" s="9"/>
      <c r="L2467" s="9"/>
    </row>
    <row r="2468" spans="2:12" ht="15" x14ac:dyDescent="0.25">
      <c r="B2468" t="s">
        <v>2102</v>
      </c>
      <c r="C2468" t="s">
        <v>2103</v>
      </c>
      <c r="D2468" t="str">
        <f>HYPERLINK("https://rhld.insurance.arkansas.gov/NPILookup?Npi=1316941040","1316941040")</f>
        <v>1316941040</v>
      </c>
      <c r="E2468" t="s">
        <v>2514</v>
      </c>
      <c r="F2468" t="s">
        <v>13</v>
      </c>
      <c r="G2468" s="20">
        <v>1</v>
      </c>
      <c r="H2468" t="s">
        <v>87</v>
      </c>
      <c r="I2468" t="s">
        <v>4357</v>
      </c>
      <c r="J2468" s="9"/>
      <c r="K2468" s="9"/>
      <c r="L2468" s="9"/>
    </row>
    <row r="2469" spans="2:12" ht="15" x14ac:dyDescent="0.25">
      <c r="B2469" t="s">
        <v>2102</v>
      </c>
      <c r="C2469" t="s">
        <v>2103</v>
      </c>
      <c r="D2469" t="str">
        <f>HYPERLINK("https://rhld.insurance.arkansas.gov/NPILookup?Npi=1316955578","1316955578")</f>
        <v>1316955578</v>
      </c>
      <c r="E2469" t="s">
        <v>2515</v>
      </c>
      <c r="F2469" t="s">
        <v>12</v>
      </c>
      <c r="G2469" s="20">
        <v>1</v>
      </c>
      <c r="H2469" t="s">
        <v>139</v>
      </c>
      <c r="I2469" t="s">
        <v>4357</v>
      </c>
      <c r="J2469" s="9"/>
      <c r="K2469" s="9"/>
      <c r="L2469" s="9"/>
    </row>
    <row r="2470" spans="2:12" ht="15" x14ac:dyDescent="0.25">
      <c r="B2470" t="s">
        <v>2102</v>
      </c>
      <c r="C2470" t="s">
        <v>2103</v>
      </c>
      <c r="D2470" t="str">
        <f>HYPERLINK("https://rhld.insurance.arkansas.gov/NPILookup?Npi=1316996572","1316996572")</f>
        <v>1316996572</v>
      </c>
      <c r="E2470" t="s">
        <v>2517</v>
      </c>
      <c r="F2470" t="s">
        <v>12</v>
      </c>
      <c r="G2470" s="20">
        <v>1</v>
      </c>
      <c r="H2470" t="s">
        <v>4349</v>
      </c>
      <c r="I2470" t="s">
        <v>4357</v>
      </c>
      <c r="J2470" s="9"/>
      <c r="K2470" s="9"/>
      <c r="L2470" s="9"/>
    </row>
    <row r="2471" spans="2:12" ht="15" x14ac:dyDescent="0.25">
      <c r="B2471" t="s">
        <v>2102</v>
      </c>
      <c r="C2471" t="s">
        <v>2103</v>
      </c>
      <c r="D2471" t="str">
        <f>HYPERLINK("https://rhld.insurance.arkansas.gov/NPILookup?Npi=1326047341","1326047341")</f>
        <v>1326047341</v>
      </c>
      <c r="E2471" t="s">
        <v>2518</v>
      </c>
      <c r="F2471" t="s">
        <v>12</v>
      </c>
      <c r="G2471" s="20">
        <v>1</v>
      </c>
      <c r="H2471" t="s">
        <v>4349</v>
      </c>
      <c r="I2471" t="s">
        <v>32</v>
      </c>
      <c r="J2471" s="9"/>
      <c r="K2471" s="9"/>
      <c r="L2471" s="9"/>
    </row>
    <row r="2472" spans="2:12" ht="15" x14ac:dyDescent="0.25">
      <c r="B2472" t="s">
        <v>2102</v>
      </c>
      <c r="C2472" t="s">
        <v>2103</v>
      </c>
      <c r="D2472" t="str">
        <f>HYPERLINK("https://rhld.insurance.arkansas.gov/NPILookup?Npi=1326256918","1326256918")</f>
        <v>1326256918</v>
      </c>
      <c r="E2472" t="s">
        <v>2520</v>
      </c>
      <c r="F2472" t="s">
        <v>12</v>
      </c>
      <c r="G2472" s="20">
        <v>1</v>
      </c>
      <c r="H2472" t="s">
        <v>4338</v>
      </c>
      <c r="I2472" t="s">
        <v>32</v>
      </c>
      <c r="J2472" s="9"/>
      <c r="K2472" s="9"/>
      <c r="L2472" s="9"/>
    </row>
    <row r="2473" spans="2:12" ht="15" x14ac:dyDescent="0.25">
      <c r="B2473" t="s">
        <v>2102</v>
      </c>
      <c r="C2473" t="s">
        <v>2103</v>
      </c>
      <c r="D2473" t="str">
        <f>HYPERLINK("https://rhld.insurance.arkansas.gov/NPILookup?Npi=1326274952","1326274952")</f>
        <v>1326274952</v>
      </c>
      <c r="E2473" t="s">
        <v>4530</v>
      </c>
      <c r="F2473" t="s">
        <v>12</v>
      </c>
      <c r="G2473" s="20">
        <v>1</v>
      </c>
      <c r="H2473" t="s">
        <v>4349</v>
      </c>
      <c r="I2473" t="s">
        <v>32</v>
      </c>
      <c r="J2473" s="9"/>
      <c r="K2473" s="9"/>
      <c r="L2473" s="9"/>
    </row>
    <row r="2474" spans="2:12" ht="15" x14ac:dyDescent="0.25">
      <c r="B2474" t="s">
        <v>2102</v>
      </c>
      <c r="C2474" t="s">
        <v>2103</v>
      </c>
      <c r="D2474" t="str">
        <f>HYPERLINK("https://rhld.insurance.arkansas.gov/NPILookup?Npi=1326289547","1326289547")</f>
        <v>1326289547</v>
      </c>
      <c r="E2474" t="s">
        <v>2521</v>
      </c>
      <c r="F2474" t="s">
        <v>12</v>
      </c>
      <c r="G2474" s="20">
        <v>1</v>
      </c>
      <c r="H2474" t="s">
        <v>4338</v>
      </c>
      <c r="I2474" t="s">
        <v>32</v>
      </c>
      <c r="J2474" s="9"/>
      <c r="K2474" s="9"/>
      <c r="L2474" s="9"/>
    </row>
    <row r="2475" spans="2:12" ht="15" x14ac:dyDescent="0.25">
      <c r="B2475" t="s">
        <v>2102</v>
      </c>
      <c r="C2475" t="s">
        <v>2103</v>
      </c>
      <c r="D2475" t="str">
        <f>HYPERLINK("https://rhld.insurance.arkansas.gov/NPILookup?Npi=1326449182","1326449182")</f>
        <v>1326449182</v>
      </c>
      <c r="E2475" t="s">
        <v>2523</v>
      </c>
      <c r="F2475" t="s">
        <v>13</v>
      </c>
      <c r="G2475" s="20">
        <v>1</v>
      </c>
      <c r="H2475" t="s">
        <v>87</v>
      </c>
      <c r="I2475" t="s">
        <v>32</v>
      </c>
      <c r="J2475" s="9"/>
      <c r="K2475" s="9"/>
      <c r="L2475" s="9"/>
    </row>
    <row r="2476" spans="2:12" ht="15" x14ac:dyDescent="0.25">
      <c r="B2476" t="s">
        <v>2102</v>
      </c>
      <c r="C2476" t="s">
        <v>2103</v>
      </c>
      <c r="D2476" t="str">
        <f>HYPERLINK("https://rhld.insurance.arkansas.gov/NPILookup?Npi=1326455841","1326455841")</f>
        <v>1326455841</v>
      </c>
      <c r="E2476" t="s">
        <v>2524</v>
      </c>
      <c r="F2476" t="s">
        <v>12</v>
      </c>
      <c r="G2476" s="20">
        <v>1</v>
      </c>
      <c r="H2476" t="s">
        <v>4338</v>
      </c>
      <c r="I2476" t="s">
        <v>32</v>
      </c>
      <c r="J2476" s="9"/>
      <c r="K2476" s="9"/>
      <c r="L2476" s="9"/>
    </row>
    <row r="2477" spans="2:12" ht="15" x14ac:dyDescent="0.25">
      <c r="B2477" t="s">
        <v>2102</v>
      </c>
      <c r="C2477" t="s">
        <v>2103</v>
      </c>
      <c r="D2477" t="str">
        <f>HYPERLINK("https://rhld.insurance.arkansas.gov/NPILookup?Npi=1326509365","1326509365")</f>
        <v>1326509365</v>
      </c>
      <c r="E2477" t="s">
        <v>2525</v>
      </c>
      <c r="F2477" t="s">
        <v>12</v>
      </c>
      <c r="G2477" s="20">
        <v>1</v>
      </c>
      <c r="H2477" t="s">
        <v>4349</v>
      </c>
      <c r="I2477" t="s">
        <v>32</v>
      </c>
      <c r="J2477" s="9"/>
      <c r="K2477" s="9"/>
      <c r="L2477" s="9"/>
    </row>
    <row r="2478" spans="2:12" ht="15" x14ac:dyDescent="0.25">
      <c r="B2478" t="s">
        <v>2102</v>
      </c>
      <c r="C2478" t="s">
        <v>2103</v>
      </c>
      <c r="D2478" t="str">
        <f>HYPERLINK("https://rhld.insurance.arkansas.gov/NPILookup?Npi=1326857160","1326857160")</f>
        <v>1326857160</v>
      </c>
      <c r="E2478" t="s">
        <v>2526</v>
      </c>
      <c r="F2478" t="s">
        <v>13</v>
      </c>
      <c r="G2478" s="20">
        <v>1</v>
      </c>
      <c r="H2478" t="s">
        <v>4357</v>
      </c>
      <c r="I2478" t="s">
        <v>4357</v>
      </c>
      <c r="J2478" s="9"/>
      <c r="K2478" s="9"/>
      <c r="L2478" s="9"/>
    </row>
    <row r="2479" spans="2:12" ht="15" x14ac:dyDescent="0.25">
      <c r="B2479" t="s">
        <v>2102</v>
      </c>
      <c r="C2479" t="s">
        <v>2103</v>
      </c>
      <c r="D2479" t="str">
        <f>HYPERLINK("https://rhld.insurance.arkansas.gov/NPILookup?Npi=1326857863","1326857863")</f>
        <v>1326857863</v>
      </c>
      <c r="E2479" t="s">
        <v>2527</v>
      </c>
      <c r="F2479" t="s">
        <v>13</v>
      </c>
      <c r="G2479" s="20">
        <v>1</v>
      </c>
      <c r="H2479" t="s">
        <v>4357</v>
      </c>
      <c r="I2479" t="s">
        <v>4357</v>
      </c>
      <c r="J2479" s="9"/>
      <c r="K2479" s="9"/>
      <c r="L2479" s="9"/>
    </row>
    <row r="2480" spans="2:12" ht="15" x14ac:dyDescent="0.25">
      <c r="B2480" t="s">
        <v>2102</v>
      </c>
      <c r="C2480" t="s">
        <v>2103</v>
      </c>
      <c r="D2480" t="str">
        <f>HYPERLINK("https://rhld.insurance.arkansas.gov/NPILookup?Npi=1336122647","1336122647")</f>
        <v>1336122647</v>
      </c>
      <c r="E2480" t="s">
        <v>2528</v>
      </c>
      <c r="F2480" t="s">
        <v>12</v>
      </c>
      <c r="G2480" s="20">
        <v>1</v>
      </c>
      <c r="H2480" t="s">
        <v>4338</v>
      </c>
      <c r="I2480" t="s">
        <v>32</v>
      </c>
      <c r="J2480" s="9"/>
      <c r="K2480" s="9"/>
      <c r="L2480" s="9"/>
    </row>
    <row r="2481" spans="2:12" ht="15" x14ac:dyDescent="0.25">
      <c r="B2481" t="s">
        <v>2102</v>
      </c>
      <c r="C2481" t="s">
        <v>2103</v>
      </c>
      <c r="D2481" t="str">
        <f>HYPERLINK("https://rhld.insurance.arkansas.gov/NPILookup?Npi=1336251891","1336251891")</f>
        <v>1336251891</v>
      </c>
      <c r="E2481" t="s">
        <v>2530</v>
      </c>
      <c r="F2481" t="s">
        <v>12</v>
      </c>
      <c r="G2481" s="20">
        <v>1</v>
      </c>
      <c r="H2481" t="s">
        <v>139</v>
      </c>
      <c r="I2481" t="s">
        <v>32</v>
      </c>
      <c r="J2481" s="9"/>
      <c r="K2481" s="9"/>
      <c r="L2481" s="9"/>
    </row>
    <row r="2482" spans="2:12" ht="15" x14ac:dyDescent="0.25">
      <c r="B2482" t="s">
        <v>2102</v>
      </c>
      <c r="C2482" t="s">
        <v>2103</v>
      </c>
      <c r="D2482" t="str">
        <f>HYPERLINK("https://rhld.insurance.arkansas.gov/NPILookup?Npi=1336382548","1336382548")</f>
        <v>1336382548</v>
      </c>
      <c r="E2482" t="s">
        <v>564</v>
      </c>
      <c r="F2482" t="s">
        <v>12</v>
      </c>
      <c r="G2482" s="20">
        <v>1</v>
      </c>
      <c r="H2482" t="s">
        <v>4349</v>
      </c>
      <c r="I2482" t="s">
        <v>32</v>
      </c>
      <c r="J2482" s="9"/>
      <c r="K2482" s="9"/>
      <c r="L2482" s="9"/>
    </row>
    <row r="2483" spans="2:12" ht="15" x14ac:dyDescent="0.25">
      <c r="B2483" t="s">
        <v>2102</v>
      </c>
      <c r="C2483" t="s">
        <v>2103</v>
      </c>
      <c r="D2483" t="str">
        <f>HYPERLINK("https://rhld.insurance.arkansas.gov/NPILookup?Npi=1336410190","1336410190")</f>
        <v>1336410190</v>
      </c>
      <c r="E2483" t="s">
        <v>2531</v>
      </c>
      <c r="F2483" t="s">
        <v>12</v>
      </c>
      <c r="G2483" s="20">
        <v>1</v>
      </c>
      <c r="H2483" t="s">
        <v>4349</v>
      </c>
      <c r="I2483" t="s">
        <v>4357</v>
      </c>
      <c r="J2483" s="9"/>
      <c r="K2483" s="9"/>
      <c r="L2483" s="9"/>
    </row>
    <row r="2484" spans="2:12" ht="15" x14ac:dyDescent="0.25">
      <c r="B2484" t="s">
        <v>2102</v>
      </c>
      <c r="C2484" t="s">
        <v>2103</v>
      </c>
      <c r="D2484" t="str">
        <f>HYPERLINK("https://rhld.insurance.arkansas.gov/NPILookup?Npi=1336420298","1336420298")</f>
        <v>1336420298</v>
      </c>
      <c r="E2484" t="s">
        <v>2532</v>
      </c>
      <c r="F2484" t="s">
        <v>12</v>
      </c>
      <c r="G2484" s="20">
        <v>1</v>
      </c>
      <c r="H2484" t="s">
        <v>4338</v>
      </c>
      <c r="I2484" t="s">
        <v>32</v>
      </c>
      <c r="J2484" s="9"/>
      <c r="K2484" s="9"/>
      <c r="L2484" s="9"/>
    </row>
    <row r="2485" spans="2:12" ht="15" x14ac:dyDescent="0.25">
      <c r="B2485" t="s">
        <v>2102</v>
      </c>
      <c r="C2485" t="s">
        <v>2103</v>
      </c>
      <c r="D2485" t="str">
        <f>HYPERLINK("https://rhld.insurance.arkansas.gov/NPILookup?Npi=1336602713","1336602713")</f>
        <v>1336602713</v>
      </c>
      <c r="E2485" t="s">
        <v>2533</v>
      </c>
      <c r="F2485" t="s">
        <v>12</v>
      </c>
      <c r="G2485" s="20">
        <v>1</v>
      </c>
      <c r="H2485" t="s">
        <v>4349</v>
      </c>
      <c r="I2485" t="s">
        <v>4357</v>
      </c>
      <c r="J2485" s="9"/>
      <c r="K2485" s="9"/>
      <c r="L2485" s="9"/>
    </row>
    <row r="2486" spans="2:12" ht="15" x14ac:dyDescent="0.25">
      <c r="B2486" t="s">
        <v>2102</v>
      </c>
      <c r="C2486" t="s">
        <v>2103</v>
      </c>
      <c r="D2486" t="str">
        <f>HYPERLINK("https://rhld.insurance.arkansas.gov/NPILookup?Npi=1336720457","1336720457")</f>
        <v>1336720457</v>
      </c>
      <c r="E2486" t="s">
        <v>2534</v>
      </c>
      <c r="F2486" t="s">
        <v>13</v>
      </c>
      <c r="G2486" s="20">
        <v>1</v>
      </c>
      <c r="H2486" t="s">
        <v>4357</v>
      </c>
      <c r="I2486" t="s">
        <v>4357</v>
      </c>
      <c r="J2486" s="9"/>
      <c r="K2486" s="9"/>
      <c r="L2486" s="9"/>
    </row>
    <row r="2487" spans="2:12" ht="15" x14ac:dyDescent="0.25">
      <c r="B2487" t="s">
        <v>2102</v>
      </c>
      <c r="C2487" t="s">
        <v>2103</v>
      </c>
      <c r="D2487" t="str">
        <f>HYPERLINK("https://rhld.insurance.arkansas.gov/NPILookup?Npi=1336762228","1336762228")</f>
        <v>1336762228</v>
      </c>
      <c r="E2487" t="s">
        <v>2535</v>
      </c>
      <c r="F2487" t="s">
        <v>13</v>
      </c>
      <c r="G2487" s="20">
        <v>1</v>
      </c>
      <c r="H2487" t="s">
        <v>4357</v>
      </c>
      <c r="I2487" t="s">
        <v>4357</v>
      </c>
      <c r="J2487" s="9"/>
      <c r="K2487" s="9"/>
      <c r="L2487" s="9"/>
    </row>
    <row r="2488" spans="2:12" ht="15" x14ac:dyDescent="0.25">
      <c r="B2488" t="s">
        <v>2102</v>
      </c>
      <c r="C2488" t="s">
        <v>2103</v>
      </c>
      <c r="D2488" t="str">
        <f>HYPERLINK("https://rhld.insurance.arkansas.gov/NPILookup?Npi=1336764604","1336764604")</f>
        <v>1336764604</v>
      </c>
      <c r="E2488" t="s">
        <v>2536</v>
      </c>
      <c r="F2488" t="s">
        <v>13</v>
      </c>
      <c r="G2488" s="20">
        <v>1</v>
      </c>
      <c r="H2488" t="s">
        <v>4357</v>
      </c>
      <c r="I2488" t="s">
        <v>4357</v>
      </c>
      <c r="J2488" s="9"/>
      <c r="K2488" s="9"/>
      <c r="L2488" s="9"/>
    </row>
    <row r="2489" spans="2:12" ht="15" x14ac:dyDescent="0.25">
      <c r="B2489" t="s">
        <v>2102</v>
      </c>
      <c r="C2489" t="s">
        <v>2103</v>
      </c>
      <c r="D2489" t="str">
        <f>HYPERLINK("https://rhld.insurance.arkansas.gov/NPILookup?Npi=1336870641","1336870641")</f>
        <v>1336870641</v>
      </c>
      <c r="E2489" t="s">
        <v>2065</v>
      </c>
      <c r="F2489" t="s">
        <v>13</v>
      </c>
      <c r="G2489" s="20">
        <v>1</v>
      </c>
      <c r="H2489" t="s">
        <v>4357</v>
      </c>
      <c r="I2489" t="s">
        <v>4357</v>
      </c>
      <c r="J2489" s="9"/>
      <c r="K2489" s="9"/>
      <c r="L2489" s="9"/>
    </row>
    <row r="2490" spans="2:12" ht="15" x14ac:dyDescent="0.25">
      <c r="B2490" t="s">
        <v>2102</v>
      </c>
      <c r="C2490" t="s">
        <v>2103</v>
      </c>
      <c r="D2490" t="str">
        <f>HYPERLINK("https://rhld.insurance.arkansas.gov/NPILookup?Npi=1346242203","1346242203")</f>
        <v>1346242203</v>
      </c>
      <c r="E2490" t="s">
        <v>2539</v>
      </c>
      <c r="F2490" t="s">
        <v>12</v>
      </c>
      <c r="G2490" s="20">
        <v>1</v>
      </c>
      <c r="H2490" t="s">
        <v>4349</v>
      </c>
      <c r="I2490" t="s">
        <v>32</v>
      </c>
      <c r="J2490" s="9"/>
      <c r="K2490" s="9"/>
      <c r="L2490" s="9"/>
    </row>
    <row r="2491" spans="2:12" ht="15" x14ac:dyDescent="0.25">
      <c r="B2491" t="s">
        <v>2102</v>
      </c>
      <c r="C2491" t="s">
        <v>2103</v>
      </c>
      <c r="D2491" t="str">
        <f>HYPERLINK("https://rhld.insurance.arkansas.gov/NPILookup?Npi=1346307220","1346307220")</f>
        <v>1346307220</v>
      </c>
      <c r="E2491" t="s">
        <v>2540</v>
      </c>
      <c r="F2491" t="s">
        <v>12</v>
      </c>
      <c r="G2491" s="20">
        <v>1</v>
      </c>
      <c r="H2491" t="s">
        <v>4349</v>
      </c>
      <c r="I2491" t="s">
        <v>4357</v>
      </c>
      <c r="J2491" s="9"/>
      <c r="K2491" s="9"/>
      <c r="L2491" s="9"/>
    </row>
    <row r="2492" spans="2:12" ht="15" x14ac:dyDescent="0.25">
      <c r="B2492" t="s">
        <v>2102</v>
      </c>
      <c r="C2492" t="s">
        <v>2103</v>
      </c>
      <c r="D2492" t="str">
        <f>HYPERLINK("https://rhld.insurance.arkansas.gov/NPILookup?Npi=1346339066","1346339066")</f>
        <v>1346339066</v>
      </c>
      <c r="E2492" t="s">
        <v>2541</v>
      </c>
      <c r="F2492" t="s">
        <v>12</v>
      </c>
      <c r="G2492" s="20">
        <v>1</v>
      </c>
      <c r="H2492" t="s">
        <v>4338</v>
      </c>
      <c r="I2492" t="s">
        <v>32</v>
      </c>
      <c r="J2492" s="9"/>
      <c r="K2492" s="9"/>
      <c r="L2492" s="9"/>
    </row>
    <row r="2493" spans="2:12" ht="15" x14ac:dyDescent="0.25">
      <c r="B2493" t="s">
        <v>2102</v>
      </c>
      <c r="C2493" t="s">
        <v>2103</v>
      </c>
      <c r="D2493" t="str">
        <f>HYPERLINK("https://rhld.insurance.arkansas.gov/NPILookup?Npi=1346542867","1346542867")</f>
        <v>1346542867</v>
      </c>
      <c r="E2493" t="s">
        <v>2543</v>
      </c>
      <c r="F2493" t="s">
        <v>13</v>
      </c>
      <c r="G2493" s="20">
        <v>1</v>
      </c>
      <c r="H2493" t="s">
        <v>4357</v>
      </c>
      <c r="I2493" t="s">
        <v>4357</v>
      </c>
      <c r="J2493" s="9"/>
      <c r="K2493" s="9"/>
      <c r="L2493" s="9"/>
    </row>
    <row r="2494" spans="2:12" ht="15" x14ac:dyDescent="0.25">
      <c r="B2494" t="s">
        <v>2102</v>
      </c>
      <c r="C2494" t="s">
        <v>2103</v>
      </c>
      <c r="D2494" t="str">
        <f>HYPERLINK("https://rhld.insurance.arkansas.gov/NPILookup?Npi=1346587599","1346587599")</f>
        <v>1346587599</v>
      </c>
      <c r="E2494" t="s">
        <v>2544</v>
      </c>
      <c r="F2494" t="s">
        <v>13</v>
      </c>
      <c r="G2494" s="20">
        <v>1</v>
      </c>
      <c r="H2494" t="s">
        <v>87</v>
      </c>
      <c r="I2494" t="s">
        <v>32</v>
      </c>
      <c r="J2494" s="9"/>
      <c r="K2494" s="9"/>
      <c r="L2494" s="9"/>
    </row>
    <row r="2495" spans="2:12" ht="15" x14ac:dyDescent="0.25">
      <c r="B2495" t="s">
        <v>2102</v>
      </c>
      <c r="C2495" t="s">
        <v>2103</v>
      </c>
      <c r="D2495" t="str">
        <f>HYPERLINK("https://rhld.insurance.arkansas.gov/NPILookup?Npi=1346660727","1346660727")</f>
        <v>1346660727</v>
      </c>
      <c r="E2495" t="s">
        <v>4531</v>
      </c>
      <c r="F2495" t="s">
        <v>12</v>
      </c>
      <c r="G2495" s="20">
        <v>1</v>
      </c>
      <c r="H2495" t="s">
        <v>4349</v>
      </c>
      <c r="I2495" t="s">
        <v>32</v>
      </c>
      <c r="J2495" s="9"/>
      <c r="K2495" s="9"/>
      <c r="L2495" s="9"/>
    </row>
    <row r="2496" spans="2:12" ht="15" x14ac:dyDescent="0.25">
      <c r="B2496" t="s">
        <v>2102</v>
      </c>
      <c r="C2496" t="s">
        <v>2103</v>
      </c>
      <c r="D2496" t="str">
        <f>HYPERLINK("https://rhld.insurance.arkansas.gov/NPILookup?Npi=1346737269","1346737269")</f>
        <v>1346737269</v>
      </c>
      <c r="E2496" t="s">
        <v>2546</v>
      </c>
      <c r="F2496" t="s">
        <v>12</v>
      </c>
      <c r="G2496" s="20">
        <v>1</v>
      </c>
      <c r="H2496" t="s">
        <v>4349</v>
      </c>
      <c r="I2496" t="s">
        <v>32</v>
      </c>
      <c r="J2496" s="9"/>
      <c r="K2496" s="9"/>
      <c r="L2496" s="9"/>
    </row>
    <row r="2497" spans="2:12" ht="15" x14ac:dyDescent="0.25">
      <c r="B2497" t="s">
        <v>2102</v>
      </c>
      <c r="C2497" t="s">
        <v>2103</v>
      </c>
      <c r="D2497" t="str">
        <f>HYPERLINK("https://rhld.insurance.arkansas.gov/NPILookup?Npi=1346822384","1346822384")</f>
        <v>1346822384</v>
      </c>
      <c r="E2497" t="s">
        <v>2547</v>
      </c>
      <c r="F2497" t="s">
        <v>13</v>
      </c>
      <c r="G2497" s="20">
        <v>1</v>
      </c>
      <c r="H2497" t="s">
        <v>4357</v>
      </c>
      <c r="I2497" t="s">
        <v>4357</v>
      </c>
      <c r="J2497" s="9"/>
      <c r="K2497" s="9"/>
      <c r="L2497" s="9"/>
    </row>
    <row r="2498" spans="2:12" ht="15" x14ac:dyDescent="0.25">
      <c r="B2498" t="s">
        <v>2102</v>
      </c>
      <c r="C2498" t="s">
        <v>2103</v>
      </c>
      <c r="D2498" t="str">
        <f>HYPERLINK("https://rhld.insurance.arkansas.gov/NPILookup?Npi=1346879079","1346879079")</f>
        <v>1346879079</v>
      </c>
      <c r="E2498" t="s">
        <v>2548</v>
      </c>
      <c r="F2498" t="s">
        <v>13</v>
      </c>
      <c r="G2498" s="20">
        <v>1</v>
      </c>
      <c r="H2498" t="s">
        <v>4357</v>
      </c>
      <c r="I2498" t="s">
        <v>4357</v>
      </c>
      <c r="J2498" s="9"/>
      <c r="K2498" s="9"/>
      <c r="L2498" s="9"/>
    </row>
    <row r="2499" spans="2:12" ht="15" x14ac:dyDescent="0.25">
      <c r="B2499" t="s">
        <v>2102</v>
      </c>
      <c r="C2499" t="s">
        <v>2103</v>
      </c>
      <c r="D2499" t="str">
        <f>HYPERLINK("https://rhld.insurance.arkansas.gov/NPILookup?Npi=1346994043","1346994043")</f>
        <v>1346994043</v>
      </c>
      <c r="E2499" t="s">
        <v>2550</v>
      </c>
      <c r="F2499" t="s">
        <v>12</v>
      </c>
      <c r="G2499" s="20">
        <v>1</v>
      </c>
      <c r="H2499" t="s">
        <v>4338</v>
      </c>
      <c r="I2499" t="s">
        <v>32</v>
      </c>
      <c r="J2499" s="9"/>
      <c r="K2499" s="9"/>
      <c r="L2499" s="9"/>
    </row>
    <row r="2500" spans="2:12" ht="15" x14ac:dyDescent="0.25">
      <c r="B2500" t="s">
        <v>2102</v>
      </c>
      <c r="C2500" t="s">
        <v>2103</v>
      </c>
      <c r="D2500" t="str">
        <f>HYPERLINK("https://rhld.insurance.arkansas.gov/NPILookup?Npi=1346997681","1346997681")</f>
        <v>1346997681</v>
      </c>
      <c r="E2500" t="s">
        <v>2551</v>
      </c>
      <c r="F2500" t="s">
        <v>12</v>
      </c>
      <c r="G2500" s="20">
        <v>1</v>
      </c>
      <c r="H2500" t="s">
        <v>4338</v>
      </c>
      <c r="I2500" t="s">
        <v>32</v>
      </c>
      <c r="J2500" s="9"/>
      <c r="K2500" s="9"/>
      <c r="L2500" s="9"/>
    </row>
    <row r="2501" spans="2:12" ht="15" x14ac:dyDescent="0.25">
      <c r="B2501" t="s">
        <v>2102</v>
      </c>
      <c r="C2501" t="s">
        <v>2103</v>
      </c>
      <c r="D2501" t="str">
        <f>HYPERLINK("https://rhld.insurance.arkansas.gov/NPILookup?Npi=1356042964","1356042964")</f>
        <v>1356042964</v>
      </c>
      <c r="E2501" t="s">
        <v>2552</v>
      </c>
      <c r="F2501" t="s">
        <v>13</v>
      </c>
      <c r="G2501" s="20">
        <v>1</v>
      </c>
      <c r="H2501" t="s">
        <v>4357</v>
      </c>
      <c r="I2501" t="s">
        <v>4357</v>
      </c>
      <c r="J2501" s="9"/>
      <c r="K2501" s="9"/>
      <c r="L2501" s="9"/>
    </row>
    <row r="2502" spans="2:12" ht="15" x14ac:dyDescent="0.25">
      <c r="B2502" t="s">
        <v>2102</v>
      </c>
      <c r="C2502" t="s">
        <v>2103</v>
      </c>
      <c r="D2502" t="str">
        <f>HYPERLINK("https://rhld.insurance.arkansas.gov/NPILookup?Npi=1356157481","1356157481")</f>
        <v>1356157481</v>
      </c>
      <c r="E2502" t="s">
        <v>2553</v>
      </c>
      <c r="F2502" t="s">
        <v>13</v>
      </c>
      <c r="G2502" s="20">
        <v>1</v>
      </c>
      <c r="H2502" t="s">
        <v>4357</v>
      </c>
      <c r="I2502" t="s">
        <v>4357</v>
      </c>
      <c r="J2502" s="9"/>
      <c r="K2502" s="9"/>
      <c r="L2502" s="9"/>
    </row>
    <row r="2503" spans="2:12" ht="15" x14ac:dyDescent="0.25">
      <c r="B2503" t="s">
        <v>2102</v>
      </c>
      <c r="C2503" t="s">
        <v>2103</v>
      </c>
      <c r="D2503" t="str">
        <f>HYPERLINK("https://rhld.insurance.arkansas.gov/NPILookup?Npi=1356168132","1356168132")</f>
        <v>1356168132</v>
      </c>
      <c r="E2503" t="s">
        <v>2554</v>
      </c>
      <c r="F2503" t="s">
        <v>13</v>
      </c>
      <c r="G2503" s="20">
        <v>1</v>
      </c>
      <c r="H2503" t="s">
        <v>4357</v>
      </c>
      <c r="I2503" t="s">
        <v>4357</v>
      </c>
      <c r="J2503" s="9"/>
      <c r="K2503" s="9"/>
      <c r="L2503" s="9"/>
    </row>
    <row r="2504" spans="2:12" ht="15" x14ac:dyDescent="0.25">
      <c r="B2504" t="s">
        <v>2102</v>
      </c>
      <c r="C2504" t="s">
        <v>2103</v>
      </c>
      <c r="D2504" t="str">
        <f>HYPERLINK("https://rhld.insurance.arkansas.gov/NPILookup?Npi=1356305684","1356305684")</f>
        <v>1356305684</v>
      </c>
      <c r="E2504" t="s">
        <v>572</v>
      </c>
      <c r="F2504" t="s">
        <v>12</v>
      </c>
      <c r="G2504" s="20">
        <v>1</v>
      </c>
      <c r="H2504" t="s">
        <v>4349</v>
      </c>
      <c r="I2504" t="s">
        <v>4357</v>
      </c>
      <c r="J2504" s="9"/>
      <c r="K2504" s="9"/>
      <c r="L2504" s="9"/>
    </row>
    <row r="2505" spans="2:12" ht="15" x14ac:dyDescent="0.25">
      <c r="B2505" t="s">
        <v>2102</v>
      </c>
      <c r="C2505" t="s">
        <v>2103</v>
      </c>
      <c r="D2505" t="str">
        <f>HYPERLINK("https://rhld.insurance.arkansas.gov/NPILookup?Npi=1356327878","1356327878")</f>
        <v>1356327878</v>
      </c>
      <c r="E2505" t="s">
        <v>2555</v>
      </c>
      <c r="F2505" t="s">
        <v>12</v>
      </c>
      <c r="G2505" s="20">
        <v>1</v>
      </c>
      <c r="H2505" t="s">
        <v>139</v>
      </c>
      <c r="I2505" t="s">
        <v>32</v>
      </c>
      <c r="J2505" s="9"/>
      <c r="K2505" s="9"/>
      <c r="L2505" s="9"/>
    </row>
    <row r="2506" spans="2:12" ht="15" x14ac:dyDescent="0.25">
      <c r="B2506" t="s">
        <v>2102</v>
      </c>
      <c r="C2506" t="s">
        <v>2103</v>
      </c>
      <c r="D2506" t="str">
        <f>HYPERLINK("https://rhld.insurance.arkansas.gov/NPILookup?Npi=1356347207","1356347207")</f>
        <v>1356347207</v>
      </c>
      <c r="E2506" t="s">
        <v>2556</v>
      </c>
      <c r="F2506" t="s">
        <v>12</v>
      </c>
      <c r="G2506" s="20">
        <v>1</v>
      </c>
      <c r="H2506" t="s">
        <v>4338</v>
      </c>
      <c r="I2506" t="s">
        <v>32</v>
      </c>
      <c r="J2506" s="9"/>
      <c r="K2506" s="9"/>
      <c r="L2506" s="9"/>
    </row>
    <row r="2507" spans="2:12" ht="15" x14ac:dyDescent="0.25">
      <c r="B2507" t="s">
        <v>2102</v>
      </c>
      <c r="C2507" t="s">
        <v>2103</v>
      </c>
      <c r="D2507" t="str">
        <f>HYPERLINK("https://rhld.insurance.arkansas.gov/NPILookup?Npi=1356370910","1356370910")</f>
        <v>1356370910</v>
      </c>
      <c r="E2507" t="s">
        <v>2557</v>
      </c>
      <c r="F2507" t="s">
        <v>12</v>
      </c>
      <c r="G2507" s="20">
        <v>1</v>
      </c>
      <c r="H2507" t="s">
        <v>4349</v>
      </c>
      <c r="I2507" t="s">
        <v>32</v>
      </c>
      <c r="J2507" s="9"/>
      <c r="K2507" s="9"/>
      <c r="L2507" s="9"/>
    </row>
    <row r="2508" spans="2:12" ht="15" x14ac:dyDescent="0.25">
      <c r="B2508" t="s">
        <v>2102</v>
      </c>
      <c r="C2508" t="s">
        <v>2103</v>
      </c>
      <c r="D2508" t="str">
        <f>HYPERLINK("https://rhld.insurance.arkansas.gov/NPILookup?Npi=1356439681","1356439681")</f>
        <v>1356439681</v>
      </c>
      <c r="E2508" t="s">
        <v>2558</v>
      </c>
      <c r="F2508" t="s">
        <v>12</v>
      </c>
      <c r="G2508" s="20">
        <v>1</v>
      </c>
      <c r="H2508" t="s">
        <v>4338</v>
      </c>
      <c r="I2508" t="s">
        <v>32</v>
      </c>
      <c r="J2508" s="9"/>
      <c r="K2508" s="9"/>
      <c r="L2508" s="9"/>
    </row>
    <row r="2509" spans="2:12" ht="15" x14ac:dyDescent="0.25">
      <c r="B2509" t="s">
        <v>2102</v>
      </c>
      <c r="C2509" t="s">
        <v>2103</v>
      </c>
      <c r="D2509" t="str">
        <f>HYPERLINK("https://rhld.insurance.arkansas.gov/NPILookup?Npi=1356454193","1356454193")</f>
        <v>1356454193</v>
      </c>
      <c r="E2509" t="s">
        <v>4532</v>
      </c>
      <c r="F2509" t="s">
        <v>12</v>
      </c>
      <c r="G2509" s="20">
        <v>1</v>
      </c>
      <c r="H2509" t="s">
        <v>4349</v>
      </c>
      <c r="I2509" t="s">
        <v>32</v>
      </c>
      <c r="J2509" s="9"/>
      <c r="K2509" s="9"/>
      <c r="L2509" s="9"/>
    </row>
    <row r="2510" spans="2:12" ht="15" x14ac:dyDescent="0.25">
      <c r="B2510" t="s">
        <v>2102</v>
      </c>
      <c r="C2510" t="s">
        <v>2103</v>
      </c>
      <c r="D2510" t="str">
        <f>HYPERLINK("https://rhld.insurance.arkansas.gov/NPILookup?Npi=1356515787","1356515787")</f>
        <v>1356515787</v>
      </c>
      <c r="E2510" t="s">
        <v>2561</v>
      </c>
      <c r="F2510" t="s">
        <v>12</v>
      </c>
      <c r="G2510" s="20">
        <v>1</v>
      </c>
      <c r="H2510" t="s">
        <v>4349</v>
      </c>
      <c r="I2510" t="s">
        <v>32</v>
      </c>
      <c r="J2510" s="9"/>
      <c r="K2510" s="9"/>
      <c r="L2510" s="9"/>
    </row>
    <row r="2511" spans="2:12" ht="15" x14ac:dyDescent="0.25">
      <c r="B2511" t="s">
        <v>2102</v>
      </c>
      <c r="C2511" t="s">
        <v>2103</v>
      </c>
      <c r="D2511" t="str">
        <f>HYPERLINK("https://rhld.insurance.arkansas.gov/NPILookup?Npi=1356575492","1356575492")</f>
        <v>1356575492</v>
      </c>
      <c r="E2511" t="s">
        <v>1127</v>
      </c>
      <c r="F2511" t="s">
        <v>12</v>
      </c>
      <c r="G2511" s="20">
        <v>1</v>
      </c>
      <c r="H2511" t="s">
        <v>4338</v>
      </c>
      <c r="I2511" t="s">
        <v>4357</v>
      </c>
      <c r="J2511" s="9"/>
      <c r="K2511" s="9"/>
      <c r="L2511" s="9"/>
    </row>
    <row r="2512" spans="2:12" ht="15" x14ac:dyDescent="0.25">
      <c r="B2512" t="s">
        <v>2102</v>
      </c>
      <c r="C2512" t="s">
        <v>2103</v>
      </c>
      <c r="D2512" t="str">
        <f>HYPERLINK("https://rhld.insurance.arkansas.gov/NPILookup?Npi=1356684963","1356684963")</f>
        <v>1356684963</v>
      </c>
      <c r="E2512" t="s">
        <v>4533</v>
      </c>
      <c r="F2512" t="s">
        <v>12</v>
      </c>
      <c r="G2512" s="20">
        <v>1</v>
      </c>
      <c r="H2512" t="s">
        <v>4349</v>
      </c>
      <c r="I2512" t="s">
        <v>32</v>
      </c>
      <c r="J2512" s="9"/>
      <c r="K2512" s="9"/>
      <c r="L2512" s="9"/>
    </row>
    <row r="2513" spans="2:12" ht="15" x14ac:dyDescent="0.25">
      <c r="B2513" t="s">
        <v>2102</v>
      </c>
      <c r="C2513" t="s">
        <v>2103</v>
      </c>
      <c r="D2513" t="str">
        <f>HYPERLINK("https://rhld.insurance.arkansas.gov/NPILookup?Npi=1356750624","1356750624")</f>
        <v>1356750624</v>
      </c>
      <c r="E2513" t="s">
        <v>2562</v>
      </c>
      <c r="F2513" t="s">
        <v>12</v>
      </c>
      <c r="G2513" s="20">
        <v>1</v>
      </c>
      <c r="H2513" t="s">
        <v>4349</v>
      </c>
      <c r="I2513" t="s">
        <v>32</v>
      </c>
      <c r="J2513" s="9"/>
      <c r="K2513" s="9"/>
      <c r="L2513" s="9"/>
    </row>
    <row r="2514" spans="2:12" ht="15" x14ac:dyDescent="0.25">
      <c r="B2514" t="s">
        <v>2102</v>
      </c>
      <c r="C2514" t="s">
        <v>2103</v>
      </c>
      <c r="D2514" t="str">
        <f>HYPERLINK("https://rhld.insurance.arkansas.gov/NPILookup?Npi=1356792212","1356792212")</f>
        <v>1356792212</v>
      </c>
      <c r="E2514" t="s">
        <v>4534</v>
      </c>
      <c r="F2514" t="s">
        <v>12</v>
      </c>
      <c r="G2514" s="20">
        <v>1</v>
      </c>
      <c r="H2514" t="s">
        <v>4349</v>
      </c>
      <c r="I2514" t="s">
        <v>32</v>
      </c>
      <c r="J2514" s="9"/>
      <c r="K2514" s="9"/>
      <c r="L2514" s="9"/>
    </row>
    <row r="2515" spans="2:12" ht="15" x14ac:dyDescent="0.25">
      <c r="B2515" t="s">
        <v>2102</v>
      </c>
      <c r="C2515" t="s">
        <v>2103</v>
      </c>
      <c r="D2515" t="str">
        <f>HYPERLINK("https://rhld.insurance.arkansas.gov/NPILookup?Npi=1356867774","1356867774")</f>
        <v>1356867774</v>
      </c>
      <c r="E2515" t="s">
        <v>2563</v>
      </c>
      <c r="F2515" t="s">
        <v>13</v>
      </c>
      <c r="G2515" s="20">
        <v>1</v>
      </c>
      <c r="H2515" t="s">
        <v>87</v>
      </c>
      <c r="I2515" t="s">
        <v>4357</v>
      </c>
      <c r="J2515" s="9"/>
      <c r="K2515" s="9"/>
      <c r="L2515" s="9"/>
    </row>
    <row r="2516" spans="2:12" ht="15" x14ac:dyDescent="0.25">
      <c r="B2516" t="s">
        <v>2102</v>
      </c>
      <c r="C2516" t="s">
        <v>2103</v>
      </c>
      <c r="D2516" t="str">
        <f>HYPERLINK("https://rhld.insurance.arkansas.gov/NPILookup?Npi=1366037749","1366037749")</f>
        <v>1366037749</v>
      </c>
      <c r="E2516" t="s">
        <v>2564</v>
      </c>
      <c r="F2516" t="s">
        <v>12</v>
      </c>
      <c r="G2516" s="20">
        <v>1</v>
      </c>
      <c r="H2516" t="s">
        <v>4338</v>
      </c>
      <c r="I2516" t="s">
        <v>32</v>
      </c>
      <c r="J2516" s="9"/>
      <c r="K2516" s="9"/>
      <c r="L2516" s="9"/>
    </row>
    <row r="2517" spans="2:12" ht="15" x14ac:dyDescent="0.25">
      <c r="B2517" t="s">
        <v>2102</v>
      </c>
      <c r="C2517" t="s">
        <v>2103</v>
      </c>
      <c r="D2517" t="str">
        <f>HYPERLINK("https://rhld.insurance.arkansas.gov/NPILookup?Npi=1366071714","1366071714")</f>
        <v>1366071714</v>
      </c>
      <c r="E2517" t="s">
        <v>2565</v>
      </c>
      <c r="F2517" t="s">
        <v>12</v>
      </c>
      <c r="G2517" s="20">
        <v>1</v>
      </c>
      <c r="H2517" t="s">
        <v>4349</v>
      </c>
      <c r="I2517" t="s">
        <v>32</v>
      </c>
      <c r="J2517" s="9"/>
      <c r="K2517" s="9"/>
      <c r="L2517" s="9"/>
    </row>
    <row r="2518" spans="2:12" ht="15" x14ac:dyDescent="0.25">
      <c r="B2518" t="s">
        <v>2102</v>
      </c>
      <c r="C2518" t="s">
        <v>2103</v>
      </c>
      <c r="D2518" t="str">
        <f>HYPERLINK("https://rhld.insurance.arkansas.gov/NPILookup?Npi=1366198798","1366198798")</f>
        <v>1366198798</v>
      </c>
      <c r="E2518" t="s">
        <v>2566</v>
      </c>
      <c r="F2518" t="s">
        <v>12</v>
      </c>
      <c r="G2518" s="20">
        <v>1</v>
      </c>
      <c r="H2518" t="s">
        <v>4338</v>
      </c>
      <c r="I2518" t="s">
        <v>32</v>
      </c>
      <c r="J2518" s="9"/>
      <c r="K2518" s="9"/>
      <c r="L2518" s="9"/>
    </row>
    <row r="2519" spans="2:12" ht="15" x14ac:dyDescent="0.25">
      <c r="B2519" t="s">
        <v>2102</v>
      </c>
      <c r="C2519" t="s">
        <v>2103</v>
      </c>
      <c r="D2519" t="str">
        <f>HYPERLINK("https://rhld.insurance.arkansas.gov/NPILookup?Npi=1366258774","1366258774")</f>
        <v>1366258774</v>
      </c>
      <c r="E2519" t="s">
        <v>2567</v>
      </c>
      <c r="F2519" t="s">
        <v>13</v>
      </c>
      <c r="G2519" s="20">
        <v>1</v>
      </c>
      <c r="H2519" t="s">
        <v>4357</v>
      </c>
      <c r="I2519" t="s">
        <v>4357</v>
      </c>
      <c r="J2519" s="9"/>
      <c r="K2519" s="9"/>
      <c r="L2519" s="9"/>
    </row>
    <row r="2520" spans="2:12" ht="15" x14ac:dyDescent="0.25">
      <c r="B2520" t="s">
        <v>2102</v>
      </c>
      <c r="C2520" t="s">
        <v>2103</v>
      </c>
      <c r="D2520" t="str">
        <f>HYPERLINK("https://rhld.insurance.arkansas.gov/NPILookup?Npi=1366268930","1366268930")</f>
        <v>1366268930</v>
      </c>
      <c r="E2520" t="s">
        <v>2568</v>
      </c>
      <c r="F2520" t="s">
        <v>13</v>
      </c>
      <c r="G2520" s="20">
        <v>1</v>
      </c>
      <c r="H2520" t="s">
        <v>4357</v>
      </c>
      <c r="I2520" t="s">
        <v>4357</v>
      </c>
      <c r="J2520" s="9"/>
      <c r="K2520" s="9"/>
      <c r="L2520" s="9"/>
    </row>
    <row r="2521" spans="2:12" ht="15" x14ac:dyDescent="0.25">
      <c r="B2521" t="s">
        <v>2102</v>
      </c>
      <c r="C2521" t="s">
        <v>2103</v>
      </c>
      <c r="D2521" t="str">
        <f>HYPERLINK("https://rhld.insurance.arkansas.gov/NPILookup?Npi=1366285546","1366285546")</f>
        <v>1366285546</v>
      </c>
      <c r="E2521" t="s">
        <v>2569</v>
      </c>
      <c r="F2521" t="s">
        <v>13</v>
      </c>
      <c r="G2521" s="20">
        <v>1</v>
      </c>
      <c r="H2521" t="s">
        <v>4357</v>
      </c>
      <c r="I2521" t="s">
        <v>4357</v>
      </c>
      <c r="J2521" s="9"/>
      <c r="K2521" s="9"/>
      <c r="L2521" s="9"/>
    </row>
    <row r="2522" spans="2:12" ht="15" x14ac:dyDescent="0.25">
      <c r="B2522" t="s">
        <v>2102</v>
      </c>
      <c r="C2522" t="s">
        <v>2103</v>
      </c>
      <c r="D2522" t="str">
        <f>HYPERLINK("https://rhld.insurance.arkansas.gov/NPILookup?Npi=1366430993","1366430993")</f>
        <v>1366430993</v>
      </c>
      <c r="E2522" t="s">
        <v>2570</v>
      </c>
      <c r="F2522" t="s">
        <v>12</v>
      </c>
      <c r="G2522" s="20">
        <v>1</v>
      </c>
      <c r="H2522" t="s">
        <v>4349</v>
      </c>
      <c r="I2522" t="s">
        <v>4357</v>
      </c>
      <c r="J2522" s="9"/>
      <c r="K2522" s="9"/>
      <c r="L2522" s="9"/>
    </row>
    <row r="2523" spans="2:12" ht="15" x14ac:dyDescent="0.25">
      <c r="B2523" t="s">
        <v>2102</v>
      </c>
      <c r="C2523" t="s">
        <v>2103</v>
      </c>
      <c r="D2523" t="str">
        <f>HYPERLINK("https://rhld.insurance.arkansas.gov/NPILookup?Npi=1366470270","1366470270")</f>
        <v>1366470270</v>
      </c>
      <c r="E2523" t="s">
        <v>2572</v>
      </c>
      <c r="F2523" t="s">
        <v>12</v>
      </c>
      <c r="G2523" s="20">
        <v>1</v>
      </c>
      <c r="H2523" t="s">
        <v>4349</v>
      </c>
      <c r="I2523" t="s">
        <v>32</v>
      </c>
      <c r="J2523" s="9"/>
      <c r="K2523" s="9"/>
      <c r="L2523" s="9"/>
    </row>
    <row r="2524" spans="2:12" ht="15" x14ac:dyDescent="0.25">
      <c r="B2524" t="s">
        <v>2102</v>
      </c>
      <c r="C2524" t="s">
        <v>2103</v>
      </c>
      <c r="D2524" t="str">
        <f>HYPERLINK("https://rhld.insurance.arkansas.gov/NPILookup?Npi=1366481392","1366481392")</f>
        <v>1366481392</v>
      </c>
      <c r="E2524" t="s">
        <v>2574</v>
      </c>
      <c r="F2524" t="s">
        <v>12</v>
      </c>
      <c r="G2524" s="20">
        <v>1</v>
      </c>
      <c r="H2524" t="s">
        <v>4349</v>
      </c>
      <c r="I2524" t="s">
        <v>32</v>
      </c>
      <c r="J2524" s="9"/>
      <c r="K2524" s="9"/>
      <c r="L2524" s="9"/>
    </row>
    <row r="2525" spans="2:12" ht="15" x14ac:dyDescent="0.25">
      <c r="B2525" t="s">
        <v>2102</v>
      </c>
      <c r="C2525" t="s">
        <v>2103</v>
      </c>
      <c r="D2525" t="str">
        <f>HYPERLINK("https://rhld.insurance.arkansas.gov/NPILookup?Npi=1366501827","1366501827")</f>
        <v>1366501827</v>
      </c>
      <c r="E2525" t="s">
        <v>580</v>
      </c>
      <c r="F2525" t="s">
        <v>12</v>
      </c>
      <c r="G2525" s="20">
        <v>1</v>
      </c>
      <c r="H2525" t="s">
        <v>4349</v>
      </c>
      <c r="I2525" t="s">
        <v>32</v>
      </c>
      <c r="J2525" s="9"/>
      <c r="K2525" s="9"/>
      <c r="L2525" s="9"/>
    </row>
    <row r="2526" spans="2:12" ht="15" x14ac:dyDescent="0.25">
      <c r="B2526" t="s">
        <v>2102</v>
      </c>
      <c r="C2526" t="s">
        <v>2103</v>
      </c>
      <c r="D2526" t="str">
        <f>HYPERLINK("https://rhld.insurance.arkansas.gov/NPILookup?Npi=1366541070","1366541070")</f>
        <v>1366541070</v>
      </c>
      <c r="E2526" t="s">
        <v>581</v>
      </c>
      <c r="F2526" t="s">
        <v>12</v>
      </c>
      <c r="G2526" s="20">
        <v>1</v>
      </c>
      <c r="H2526" t="s">
        <v>4349</v>
      </c>
      <c r="I2526" t="s">
        <v>32</v>
      </c>
      <c r="J2526" s="9"/>
      <c r="K2526" s="9"/>
      <c r="L2526" s="9"/>
    </row>
    <row r="2527" spans="2:12" ht="15" x14ac:dyDescent="0.25">
      <c r="B2527" t="s">
        <v>2102</v>
      </c>
      <c r="C2527" t="s">
        <v>2103</v>
      </c>
      <c r="D2527" t="str">
        <f>HYPERLINK("https://rhld.insurance.arkansas.gov/NPILookup?Npi=1366636821","1366636821")</f>
        <v>1366636821</v>
      </c>
      <c r="E2527" t="s">
        <v>2575</v>
      </c>
      <c r="F2527" t="s">
        <v>13</v>
      </c>
      <c r="G2527" s="20">
        <v>1</v>
      </c>
      <c r="H2527" t="s">
        <v>87</v>
      </c>
      <c r="I2527" t="s">
        <v>32</v>
      </c>
      <c r="J2527" s="9"/>
      <c r="K2527" s="9"/>
      <c r="L2527" s="9"/>
    </row>
    <row r="2528" spans="2:12" ht="15" x14ac:dyDescent="0.25">
      <c r="B2528" t="s">
        <v>2102</v>
      </c>
      <c r="C2528" t="s">
        <v>2103</v>
      </c>
      <c r="D2528" t="str">
        <f>HYPERLINK("https://rhld.insurance.arkansas.gov/NPILookup?Npi=1366709404","1366709404")</f>
        <v>1366709404</v>
      </c>
      <c r="E2528" t="s">
        <v>4535</v>
      </c>
      <c r="F2528" t="s">
        <v>12</v>
      </c>
      <c r="G2528" s="20">
        <v>1</v>
      </c>
      <c r="H2528" t="s">
        <v>4349</v>
      </c>
      <c r="I2528" t="s">
        <v>32</v>
      </c>
      <c r="J2528" s="9"/>
      <c r="K2528" s="9"/>
      <c r="L2528" s="9"/>
    </row>
    <row r="2529" spans="2:12" ht="15" x14ac:dyDescent="0.25">
      <c r="B2529" t="s">
        <v>2102</v>
      </c>
      <c r="C2529" t="s">
        <v>2103</v>
      </c>
      <c r="D2529" t="str">
        <f>HYPERLINK("https://rhld.insurance.arkansas.gov/NPILookup?Npi=1366839870","1366839870")</f>
        <v>1366839870</v>
      </c>
      <c r="E2529" t="s">
        <v>2576</v>
      </c>
      <c r="F2529" t="s">
        <v>12</v>
      </c>
      <c r="G2529" s="20">
        <v>1</v>
      </c>
      <c r="H2529" t="s">
        <v>4349</v>
      </c>
      <c r="I2529" t="s">
        <v>4357</v>
      </c>
      <c r="J2529" s="9"/>
      <c r="K2529" s="9"/>
      <c r="L2529" s="9"/>
    </row>
    <row r="2530" spans="2:12" ht="15" x14ac:dyDescent="0.25">
      <c r="B2530" t="s">
        <v>2102</v>
      </c>
      <c r="C2530" t="s">
        <v>2103</v>
      </c>
      <c r="D2530" t="str">
        <f>HYPERLINK("https://rhld.insurance.arkansas.gov/NPILookup?Npi=1366990343","1366990343")</f>
        <v>1366990343</v>
      </c>
      <c r="E2530" t="s">
        <v>2577</v>
      </c>
      <c r="F2530" t="s">
        <v>12</v>
      </c>
      <c r="G2530" s="20">
        <v>1</v>
      </c>
      <c r="H2530" t="s">
        <v>4338</v>
      </c>
      <c r="I2530" t="s">
        <v>32</v>
      </c>
      <c r="J2530" s="9"/>
      <c r="K2530" s="9"/>
      <c r="L2530" s="9"/>
    </row>
    <row r="2531" spans="2:12" ht="15" x14ac:dyDescent="0.25">
      <c r="B2531" t="s">
        <v>2102</v>
      </c>
      <c r="C2531" t="s">
        <v>2103</v>
      </c>
      <c r="D2531" t="str">
        <f>HYPERLINK("https://rhld.insurance.arkansas.gov/NPILookup?Npi=1376076802","1376076802")</f>
        <v>1376076802</v>
      </c>
      <c r="E2531" t="s">
        <v>2578</v>
      </c>
      <c r="F2531" t="s">
        <v>12</v>
      </c>
      <c r="G2531" s="20">
        <v>1</v>
      </c>
      <c r="H2531" t="s">
        <v>4349</v>
      </c>
      <c r="I2531" t="s">
        <v>32</v>
      </c>
      <c r="J2531" s="9"/>
      <c r="K2531" s="9"/>
      <c r="L2531" s="9"/>
    </row>
    <row r="2532" spans="2:12" ht="15" x14ac:dyDescent="0.25">
      <c r="B2532" t="s">
        <v>2102</v>
      </c>
      <c r="C2532" t="s">
        <v>2103</v>
      </c>
      <c r="D2532" t="str">
        <f>HYPERLINK("https://rhld.insurance.arkansas.gov/NPILookup?Npi=1376191502","1376191502")</f>
        <v>1376191502</v>
      </c>
      <c r="E2532" t="s">
        <v>2579</v>
      </c>
      <c r="F2532" t="s">
        <v>12</v>
      </c>
      <c r="G2532" s="20">
        <v>1</v>
      </c>
      <c r="H2532" t="s">
        <v>4338</v>
      </c>
      <c r="I2532" t="s">
        <v>32</v>
      </c>
      <c r="J2532" s="9"/>
      <c r="K2532" s="9"/>
      <c r="L2532" s="9"/>
    </row>
    <row r="2533" spans="2:12" ht="15" x14ac:dyDescent="0.25">
      <c r="B2533" t="s">
        <v>2102</v>
      </c>
      <c r="C2533" t="s">
        <v>2103</v>
      </c>
      <c r="D2533" t="str">
        <f>HYPERLINK("https://rhld.insurance.arkansas.gov/NPILookup?Npi=1376357525","1376357525")</f>
        <v>1376357525</v>
      </c>
      <c r="E2533" t="s">
        <v>2066</v>
      </c>
      <c r="F2533" t="s">
        <v>13</v>
      </c>
      <c r="G2533" s="20">
        <v>1</v>
      </c>
      <c r="H2533" t="s">
        <v>4357</v>
      </c>
      <c r="I2533" t="s">
        <v>4357</v>
      </c>
      <c r="J2533" s="9"/>
      <c r="K2533" s="9"/>
      <c r="L2533" s="9"/>
    </row>
    <row r="2534" spans="2:12" ht="15" x14ac:dyDescent="0.25">
      <c r="B2534" t="s">
        <v>2102</v>
      </c>
      <c r="C2534" t="s">
        <v>2103</v>
      </c>
      <c r="D2534" t="str">
        <f>HYPERLINK("https://rhld.insurance.arkansas.gov/NPILookup?Npi=1376500108","1376500108")</f>
        <v>1376500108</v>
      </c>
      <c r="E2534" t="s">
        <v>4536</v>
      </c>
      <c r="F2534" t="s">
        <v>12</v>
      </c>
      <c r="G2534" s="20">
        <v>1</v>
      </c>
      <c r="H2534" t="s">
        <v>4349</v>
      </c>
      <c r="I2534" t="s">
        <v>32</v>
      </c>
      <c r="J2534" s="9"/>
      <c r="K2534" s="9"/>
      <c r="L2534" s="9"/>
    </row>
    <row r="2535" spans="2:12" ht="15" x14ac:dyDescent="0.25">
      <c r="B2535" t="s">
        <v>2102</v>
      </c>
      <c r="C2535" t="s">
        <v>2103</v>
      </c>
      <c r="D2535" t="str">
        <f>HYPERLINK("https://rhld.insurance.arkansas.gov/NPILookup?Npi=1376550640","1376550640")</f>
        <v>1376550640</v>
      </c>
      <c r="E2535" t="s">
        <v>2580</v>
      </c>
      <c r="F2535" t="s">
        <v>12</v>
      </c>
      <c r="G2535" s="20">
        <v>1</v>
      </c>
      <c r="H2535" t="s">
        <v>4338</v>
      </c>
      <c r="I2535" t="s">
        <v>32</v>
      </c>
      <c r="J2535" s="9"/>
      <c r="K2535" s="9"/>
      <c r="L2535" s="9"/>
    </row>
    <row r="2536" spans="2:12" ht="15" x14ac:dyDescent="0.25">
      <c r="B2536" t="s">
        <v>2102</v>
      </c>
      <c r="C2536" t="s">
        <v>2103</v>
      </c>
      <c r="D2536" t="str">
        <f>HYPERLINK("https://rhld.insurance.arkansas.gov/NPILookup?Npi=1376562132","1376562132")</f>
        <v>1376562132</v>
      </c>
      <c r="E2536" t="s">
        <v>584</v>
      </c>
      <c r="F2536" t="s">
        <v>12</v>
      </c>
      <c r="G2536" s="20">
        <v>1</v>
      </c>
      <c r="H2536" t="s">
        <v>4349</v>
      </c>
      <c r="I2536" t="s">
        <v>32</v>
      </c>
      <c r="J2536" s="9"/>
      <c r="K2536" s="9"/>
      <c r="L2536" s="9"/>
    </row>
    <row r="2537" spans="2:12" ht="15" x14ac:dyDescent="0.25">
      <c r="B2537" t="s">
        <v>2102</v>
      </c>
      <c r="C2537" t="s">
        <v>2103</v>
      </c>
      <c r="D2537" t="str">
        <f>HYPERLINK("https://rhld.insurance.arkansas.gov/NPILookup?Npi=1376716290","1376716290")</f>
        <v>1376716290</v>
      </c>
      <c r="E2537" t="s">
        <v>4537</v>
      </c>
      <c r="F2537" t="s">
        <v>12</v>
      </c>
      <c r="G2537" s="20">
        <v>1</v>
      </c>
      <c r="H2537" t="s">
        <v>4349</v>
      </c>
      <c r="I2537" t="s">
        <v>32</v>
      </c>
      <c r="J2537" s="9"/>
      <c r="K2537" s="9"/>
      <c r="L2537" s="9"/>
    </row>
    <row r="2538" spans="2:12" ht="15" x14ac:dyDescent="0.25">
      <c r="B2538" t="s">
        <v>2102</v>
      </c>
      <c r="C2538" t="s">
        <v>2103</v>
      </c>
      <c r="D2538" t="str">
        <f>HYPERLINK("https://rhld.insurance.arkansas.gov/NPILookup?Npi=1376804609","1376804609")</f>
        <v>1376804609</v>
      </c>
      <c r="E2538" t="s">
        <v>4538</v>
      </c>
      <c r="F2538" t="s">
        <v>12</v>
      </c>
      <c r="G2538" s="20">
        <v>1</v>
      </c>
      <c r="H2538" t="s">
        <v>4349</v>
      </c>
      <c r="I2538" t="s">
        <v>32</v>
      </c>
      <c r="J2538" s="9"/>
      <c r="K2538" s="9"/>
      <c r="L2538" s="9"/>
    </row>
    <row r="2539" spans="2:12" ht="15" x14ac:dyDescent="0.25">
      <c r="B2539" t="s">
        <v>2102</v>
      </c>
      <c r="C2539" t="s">
        <v>2103</v>
      </c>
      <c r="D2539" t="str">
        <f>HYPERLINK("https://rhld.insurance.arkansas.gov/NPILookup?Npi=1376805911","1376805911")</f>
        <v>1376805911</v>
      </c>
      <c r="E2539" t="s">
        <v>2582</v>
      </c>
      <c r="F2539" t="s">
        <v>13</v>
      </c>
      <c r="G2539" s="20">
        <v>1</v>
      </c>
      <c r="H2539" t="s">
        <v>87</v>
      </c>
      <c r="I2539" t="s">
        <v>32</v>
      </c>
      <c r="J2539" s="9"/>
      <c r="K2539" s="9"/>
      <c r="L2539" s="9"/>
    </row>
    <row r="2540" spans="2:12" ht="15" x14ac:dyDescent="0.25">
      <c r="B2540" t="s">
        <v>2102</v>
      </c>
      <c r="C2540" t="s">
        <v>2103</v>
      </c>
      <c r="D2540" t="str">
        <f>HYPERLINK("https://rhld.insurance.arkansas.gov/NPILookup?Npi=1376837344","1376837344")</f>
        <v>1376837344</v>
      </c>
      <c r="E2540" t="s">
        <v>4539</v>
      </c>
      <c r="F2540" t="s">
        <v>12</v>
      </c>
      <c r="G2540" s="20">
        <v>1</v>
      </c>
      <c r="H2540" t="s">
        <v>4349</v>
      </c>
      <c r="I2540" t="s">
        <v>4357</v>
      </c>
      <c r="J2540" s="9"/>
      <c r="K2540" s="9"/>
      <c r="L2540" s="9"/>
    </row>
    <row r="2541" spans="2:12" ht="15" x14ac:dyDescent="0.25">
      <c r="B2541" t="s">
        <v>2102</v>
      </c>
      <c r="C2541" t="s">
        <v>2103</v>
      </c>
      <c r="D2541" t="str">
        <f>HYPERLINK("https://rhld.insurance.arkansas.gov/NPILookup?Npi=1376964213","1376964213")</f>
        <v>1376964213</v>
      </c>
      <c r="E2541" t="s">
        <v>1681</v>
      </c>
      <c r="F2541" t="s">
        <v>12</v>
      </c>
      <c r="G2541" s="20">
        <v>1</v>
      </c>
      <c r="H2541" t="s">
        <v>4338</v>
      </c>
      <c r="I2541" t="s">
        <v>32</v>
      </c>
      <c r="J2541" s="9"/>
      <c r="K2541" s="9"/>
      <c r="L2541" s="9"/>
    </row>
    <row r="2542" spans="2:12" ht="15" x14ac:dyDescent="0.25">
      <c r="B2542" t="s">
        <v>2102</v>
      </c>
      <c r="C2542" t="s">
        <v>2103</v>
      </c>
      <c r="D2542" t="str">
        <f>HYPERLINK("https://rhld.insurance.arkansas.gov/NPILookup?Npi=1386060010","1386060010")</f>
        <v>1386060010</v>
      </c>
      <c r="E2542" t="s">
        <v>2584</v>
      </c>
      <c r="F2542" t="s">
        <v>12</v>
      </c>
      <c r="G2542" s="20">
        <v>1</v>
      </c>
      <c r="H2542" t="s">
        <v>4338</v>
      </c>
      <c r="I2542" t="s">
        <v>32</v>
      </c>
      <c r="J2542" s="9"/>
      <c r="K2542" s="9"/>
      <c r="L2542" s="9"/>
    </row>
    <row r="2543" spans="2:12" ht="15" x14ac:dyDescent="0.25">
      <c r="B2543" t="s">
        <v>2102</v>
      </c>
      <c r="C2543" t="s">
        <v>2103</v>
      </c>
      <c r="D2543" t="str">
        <f>HYPERLINK("https://rhld.insurance.arkansas.gov/NPILookup?Npi=1386230449","1386230449")</f>
        <v>1386230449</v>
      </c>
      <c r="E2543" t="s">
        <v>2585</v>
      </c>
      <c r="F2543" t="s">
        <v>12</v>
      </c>
      <c r="G2543" s="20">
        <v>1</v>
      </c>
      <c r="H2543" t="s">
        <v>4338</v>
      </c>
      <c r="I2543" t="s">
        <v>32</v>
      </c>
      <c r="J2543" s="9"/>
      <c r="K2543" s="9"/>
      <c r="L2543" s="9"/>
    </row>
    <row r="2544" spans="2:12" ht="15" x14ac:dyDescent="0.25">
      <c r="B2544" t="s">
        <v>2102</v>
      </c>
      <c r="C2544" t="s">
        <v>2103</v>
      </c>
      <c r="D2544" t="str">
        <f>HYPERLINK("https://rhld.insurance.arkansas.gov/NPILookup?Npi=1386279263","1386279263")</f>
        <v>1386279263</v>
      </c>
      <c r="E2544" t="s">
        <v>2586</v>
      </c>
      <c r="F2544" t="s">
        <v>12</v>
      </c>
      <c r="G2544" s="20">
        <v>1</v>
      </c>
      <c r="H2544" t="s">
        <v>4338</v>
      </c>
      <c r="I2544" t="s">
        <v>32</v>
      </c>
      <c r="J2544" s="9"/>
      <c r="K2544" s="9"/>
      <c r="L2544" s="9"/>
    </row>
    <row r="2545" spans="2:12" ht="15" x14ac:dyDescent="0.25">
      <c r="B2545" t="s">
        <v>2102</v>
      </c>
      <c r="C2545" t="s">
        <v>2103</v>
      </c>
      <c r="D2545" t="str">
        <f>HYPERLINK("https://rhld.insurance.arkansas.gov/NPILookup?Npi=1386397651","1386397651")</f>
        <v>1386397651</v>
      </c>
      <c r="E2545" t="s">
        <v>2587</v>
      </c>
      <c r="F2545" t="s">
        <v>12</v>
      </c>
      <c r="G2545" s="20">
        <v>1</v>
      </c>
      <c r="H2545" t="s">
        <v>4338</v>
      </c>
      <c r="I2545" t="s">
        <v>32</v>
      </c>
      <c r="J2545" s="9"/>
      <c r="K2545" s="9"/>
      <c r="L2545" s="9"/>
    </row>
    <row r="2546" spans="2:12" ht="15" x14ac:dyDescent="0.25">
      <c r="B2546" t="s">
        <v>2102</v>
      </c>
      <c r="C2546" t="s">
        <v>2103</v>
      </c>
      <c r="D2546" t="str">
        <f>HYPERLINK("https://rhld.insurance.arkansas.gov/NPILookup?Npi=1386450393","1386450393")</f>
        <v>1386450393</v>
      </c>
      <c r="E2546" t="s">
        <v>2588</v>
      </c>
      <c r="F2546" t="s">
        <v>13</v>
      </c>
      <c r="G2546" s="20">
        <v>1</v>
      </c>
      <c r="H2546" t="s">
        <v>4357</v>
      </c>
      <c r="I2546" t="s">
        <v>4357</v>
      </c>
      <c r="J2546" s="9"/>
      <c r="K2546" s="9"/>
      <c r="L2546" s="9"/>
    </row>
    <row r="2547" spans="2:12" ht="15" x14ac:dyDescent="0.25">
      <c r="B2547" t="s">
        <v>2102</v>
      </c>
      <c r="C2547" t="s">
        <v>2103</v>
      </c>
      <c r="D2547" t="str">
        <f>HYPERLINK("https://rhld.insurance.arkansas.gov/NPILookup?Npi=1386460905","1386460905")</f>
        <v>1386460905</v>
      </c>
      <c r="E2547" t="s">
        <v>2589</v>
      </c>
      <c r="F2547" t="s">
        <v>13</v>
      </c>
      <c r="G2547" s="20">
        <v>1</v>
      </c>
      <c r="H2547" t="s">
        <v>4357</v>
      </c>
      <c r="I2547" t="s">
        <v>4357</v>
      </c>
      <c r="J2547" s="9"/>
      <c r="K2547" s="9"/>
      <c r="L2547" s="9"/>
    </row>
    <row r="2548" spans="2:12" ht="15" x14ac:dyDescent="0.25">
      <c r="B2548" t="s">
        <v>2102</v>
      </c>
      <c r="C2548" t="s">
        <v>2103</v>
      </c>
      <c r="D2548" t="str">
        <f>HYPERLINK("https://rhld.insurance.arkansas.gov/NPILookup?Npi=1386600567","1386600567")</f>
        <v>1386600567</v>
      </c>
      <c r="E2548" t="s">
        <v>2590</v>
      </c>
      <c r="F2548" t="s">
        <v>12</v>
      </c>
      <c r="G2548" s="20">
        <v>1</v>
      </c>
      <c r="H2548" t="s">
        <v>4349</v>
      </c>
      <c r="I2548" t="s">
        <v>4357</v>
      </c>
      <c r="J2548" s="9"/>
      <c r="K2548" s="9"/>
      <c r="L2548" s="9"/>
    </row>
    <row r="2549" spans="2:12" ht="15" x14ac:dyDescent="0.25">
      <c r="B2549" t="s">
        <v>2102</v>
      </c>
      <c r="C2549" t="s">
        <v>2103</v>
      </c>
      <c r="D2549" t="str">
        <f>HYPERLINK("https://rhld.insurance.arkansas.gov/NPILookup?Npi=1386640175","1386640175")</f>
        <v>1386640175</v>
      </c>
      <c r="E2549" t="s">
        <v>589</v>
      </c>
      <c r="F2549" t="s">
        <v>12</v>
      </c>
      <c r="G2549" s="20">
        <v>1</v>
      </c>
      <c r="H2549" t="s">
        <v>4338</v>
      </c>
      <c r="I2549" t="s">
        <v>32</v>
      </c>
      <c r="J2549" s="9"/>
      <c r="K2549" s="9"/>
      <c r="L2549" s="9"/>
    </row>
    <row r="2550" spans="2:12" ht="15" x14ac:dyDescent="0.25">
      <c r="B2550" t="s">
        <v>2102</v>
      </c>
      <c r="C2550" t="s">
        <v>2103</v>
      </c>
      <c r="D2550" t="str">
        <f>HYPERLINK("https://rhld.insurance.arkansas.gov/NPILookup?Npi=1386652006","1386652006")</f>
        <v>1386652006</v>
      </c>
      <c r="E2550" t="s">
        <v>2591</v>
      </c>
      <c r="F2550" t="s">
        <v>12</v>
      </c>
      <c r="G2550" s="20">
        <v>1</v>
      </c>
      <c r="H2550" t="s">
        <v>4349</v>
      </c>
      <c r="I2550" t="s">
        <v>32</v>
      </c>
      <c r="J2550" s="9"/>
      <c r="K2550" s="9"/>
      <c r="L2550" s="9"/>
    </row>
    <row r="2551" spans="2:12" ht="15" x14ac:dyDescent="0.25">
      <c r="B2551" t="s">
        <v>2102</v>
      </c>
      <c r="C2551" t="s">
        <v>2103</v>
      </c>
      <c r="D2551" t="str">
        <f>HYPERLINK("https://rhld.insurance.arkansas.gov/NPILookup?Npi=1386703619","1386703619")</f>
        <v>1386703619</v>
      </c>
      <c r="E2551" t="s">
        <v>590</v>
      </c>
      <c r="F2551" t="s">
        <v>12</v>
      </c>
      <c r="G2551" s="20">
        <v>1</v>
      </c>
      <c r="H2551" t="s">
        <v>4349</v>
      </c>
      <c r="I2551" t="s">
        <v>32</v>
      </c>
      <c r="J2551" s="9"/>
      <c r="K2551" s="9"/>
      <c r="L2551" s="9"/>
    </row>
    <row r="2552" spans="2:12" ht="15" x14ac:dyDescent="0.25">
      <c r="B2552" t="s">
        <v>2102</v>
      </c>
      <c r="C2552" t="s">
        <v>2103</v>
      </c>
      <c r="D2552" t="str">
        <f>HYPERLINK("https://rhld.insurance.arkansas.gov/NPILookup?Npi=1386734861","1386734861")</f>
        <v>1386734861</v>
      </c>
      <c r="E2552" t="s">
        <v>4540</v>
      </c>
      <c r="F2552" t="s">
        <v>12</v>
      </c>
      <c r="G2552" s="20">
        <v>1</v>
      </c>
      <c r="H2552" t="s">
        <v>4349</v>
      </c>
      <c r="I2552" t="s">
        <v>32</v>
      </c>
      <c r="J2552" s="9"/>
      <c r="K2552" s="9"/>
      <c r="L2552" s="9"/>
    </row>
    <row r="2553" spans="2:12" ht="15" x14ac:dyDescent="0.25">
      <c r="B2553" t="s">
        <v>2102</v>
      </c>
      <c r="C2553" t="s">
        <v>2103</v>
      </c>
      <c r="D2553" t="str">
        <f>HYPERLINK("https://rhld.insurance.arkansas.gov/NPILookup?Npi=1386868545","1386868545")</f>
        <v>1386868545</v>
      </c>
      <c r="E2553" t="s">
        <v>3687</v>
      </c>
      <c r="F2553" t="s">
        <v>12</v>
      </c>
      <c r="G2553" s="20">
        <v>1</v>
      </c>
      <c r="H2553" t="s">
        <v>4349</v>
      </c>
      <c r="I2553" t="s">
        <v>32</v>
      </c>
      <c r="J2553" s="9"/>
      <c r="K2553" s="9"/>
      <c r="L2553" s="9"/>
    </row>
    <row r="2554" spans="2:12" ht="15" x14ac:dyDescent="0.25">
      <c r="B2554" t="s">
        <v>2102</v>
      </c>
      <c r="C2554" t="s">
        <v>2103</v>
      </c>
      <c r="D2554" t="str">
        <f>HYPERLINK("https://rhld.insurance.arkansas.gov/NPILookup?Npi=1386932978","1386932978")</f>
        <v>1386932978</v>
      </c>
      <c r="E2554" t="s">
        <v>104</v>
      </c>
      <c r="F2554" t="s">
        <v>12</v>
      </c>
      <c r="G2554" s="20">
        <v>1</v>
      </c>
      <c r="H2554" t="s">
        <v>4349</v>
      </c>
      <c r="I2554" t="s">
        <v>4357</v>
      </c>
      <c r="J2554" s="9"/>
      <c r="K2554" s="9"/>
      <c r="L2554" s="9"/>
    </row>
    <row r="2555" spans="2:12" ht="15" x14ac:dyDescent="0.25">
      <c r="B2555" t="s">
        <v>2102</v>
      </c>
      <c r="C2555" t="s">
        <v>2103</v>
      </c>
      <c r="D2555" t="str">
        <f>HYPERLINK("https://rhld.insurance.arkansas.gov/NPILookup?Npi=1396013363","1396013363")</f>
        <v>1396013363</v>
      </c>
      <c r="E2555" t="s">
        <v>2593</v>
      </c>
      <c r="F2555" t="s">
        <v>12</v>
      </c>
      <c r="G2555" s="20">
        <v>1</v>
      </c>
      <c r="H2555" t="s">
        <v>4338</v>
      </c>
      <c r="I2555" t="s">
        <v>32</v>
      </c>
      <c r="J2555" s="9"/>
      <c r="K2555" s="9"/>
      <c r="L2555" s="9"/>
    </row>
    <row r="2556" spans="2:12" ht="15" x14ac:dyDescent="0.25">
      <c r="B2556" t="s">
        <v>2102</v>
      </c>
      <c r="C2556" t="s">
        <v>2103</v>
      </c>
      <c r="D2556" t="str">
        <f>HYPERLINK("https://rhld.insurance.arkansas.gov/NPILookup?Npi=1396110490","1396110490")</f>
        <v>1396110490</v>
      </c>
      <c r="E2556" t="s">
        <v>2594</v>
      </c>
      <c r="F2556" t="s">
        <v>13</v>
      </c>
      <c r="G2556" s="20">
        <v>1</v>
      </c>
      <c r="H2556" t="s">
        <v>4357</v>
      </c>
      <c r="I2556" t="s">
        <v>4357</v>
      </c>
      <c r="J2556" s="9"/>
      <c r="K2556" s="9"/>
      <c r="L2556" s="9"/>
    </row>
    <row r="2557" spans="2:12" ht="15" x14ac:dyDescent="0.25">
      <c r="B2557" t="s">
        <v>2102</v>
      </c>
      <c r="C2557" t="s">
        <v>2103</v>
      </c>
      <c r="D2557" t="str">
        <f>HYPERLINK("https://rhld.insurance.arkansas.gov/NPILookup?Npi=1396163408","1396163408")</f>
        <v>1396163408</v>
      </c>
      <c r="E2557" t="s">
        <v>2595</v>
      </c>
      <c r="F2557" t="s">
        <v>12</v>
      </c>
      <c r="G2557" s="20">
        <v>1</v>
      </c>
      <c r="H2557" t="s">
        <v>4349</v>
      </c>
      <c r="I2557" t="s">
        <v>4357</v>
      </c>
      <c r="J2557" s="9"/>
      <c r="K2557" s="9"/>
      <c r="L2557" s="9"/>
    </row>
    <row r="2558" spans="2:12" ht="15" x14ac:dyDescent="0.25">
      <c r="B2558" t="s">
        <v>2102</v>
      </c>
      <c r="C2558" t="s">
        <v>2103</v>
      </c>
      <c r="D2558" t="str">
        <f>HYPERLINK("https://rhld.insurance.arkansas.gov/NPILookup?Npi=1396208658","1396208658")</f>
        <v>1396208658</v>
      </c>
      <c r="E2558" t="s">
        <v>2596</v>
      </c>
      <c r="F2558" t="s">
        <v>12</v>
      </c>
      <c r="G2558" s="20">
        <v>1</v>
      </c>
      <c r="H2558" t="s">
        <v>4349</v>
      </c>
      <c r="I2558" t="s">
        <v>32</v>
      </c>
      <c r="J2558" s="9"/>
      <c r="K2558" s="9"/>
      <c r="L2558" s="9"/>
    </row>
    <row r="2559" spans="2:12" ht="15" x14ac:dyDescent="0.25">
      <c r="B2559" t="s">
        <v>2102</v>
      </c>
      <c r="C2559" t="s">
        <v>2103</v>
      </c>
      <c r="D2559" t="str">
        <f>HYPERLINK("https://rhld.insurance.arkansas.gov/NPILookup?Npi=1396224002","1396224002")</f>
        <v>1396224002</v>
      </c>
      <c r="E2559" t="s">
        <v>2597</v>
      </c>
      <c r="F2559" t="s">
        <v>12</v>
      </c>
      <c r="G2559" s="20">
        <v>1</v>
      </c>
      <c r="H2559" t="s">
        <v>4338</v>
      </c>
      <c r="I2559" t="s">
        <v>32</v>
      </c>
      <c r="J2559" s="9"/>
      <c r="K2559" s="9"/>
      <c r="L2559" s="9"/>
    </row>
    <row r="2560" spans="2:12" ht="15" x14ac:dyDescent="0.25">
      <c r="B2560" t="s">
        <v>2102</v>
      </c>
      <c r="C2560" t="s">
        <v>2103</v>
      </c>
      <c r="D2560" t="str">
        <f>HYPERLINK("https://rhld.insurance.arkansas.gov/NPILookup?Npi=1396266656","1396266656")</f>
        <v>1396266656</v>
      </c>
      <c r="E2560" t="s">
        <v>2598</v>
      </c>
      <c r="F2560" t="s">
        <v>12</v>
      </c>
      <c r="G2560" s="20">
        <v>1</v>
      </c>
      <c r="H2560" t="s">
        <v>4349</v>
      </c>
      <c r="I2560" t="s">
        <v>4357</v>
      </c>
      <c r="J2560" s="9"/>
      <c r="K2560" s="9"/>
      <c r="L2560" s="9"/>
    </row>
    <row r="2561" spans="2:12" ht="15" x14ac:dyDescent="0.25">
      <c r="B2561" t="s">
        <v>2102</v>
      </c>
      <c r="C2561" t="s">
        <v>2103</v>
      </c>
      <c r="D2561" t="str">
        <f>HYPERLINK("https://rhld.insurance.arkansas.gov/NPILookup?Npi=1396301164","1396301164")</f>
        <v>1396301164</v>
      </c>
      <c r="E2561" t="s">
        <v>2599</v>
      </c>
      <c r="F2561" t="s">
        <v>12</v>
      </c>
      <c r="G2561" s="20">
        <v>1</v>
      </c>
      <c r="H2561" t="s">
        <v>4349</v>
      </c>
      <c r="I2561" t="s">
        <v>32</v>
      </c>
      <c r="J2561" s="9"/>
      <c r="K2561" s="9"/>
      <c r="L2561" s="9"/>
    </row>
    <row r="2562" spans="2:12" ht="15" x14ac:dyDescent="0.25">
      <c r="B2562" t="s">
        <v>2102</v>
      </c>
      <c r="C2562" t="s">
        <v>2103</v>
      </c>
      <c r="D2562" t="str">
        <f>HYPERLINK("https://rhld.insurance.arkansas.gov/NPILookup?Npi=1396303764","1396303764")</f>
        <v>1396303764</v>
      </c>
      <c r="E2562" t="s">
        <v>2600</v>
      </c>
      <c r="F2562" t="s">
        <v>12</v>
      </c>
      <c r="G2562" s="20">
        <v>1</v>
      </c>
      <c r="H2562" t="s">
        <v>4349</v>
      </c>
      <c r="I2562" t="s">
        <v>32</v>
      </c>
      <c r="J2562" s="9"/>
      <c r="K2562" s="9"/>
      <c r="L2562" s="9"/>
    </row>
    <row r="2563" spans="2:12" ht="15" x14ac:dyDescent="0.25">
      <c r="B2563" t="s">
        <v>2102</v>
      </c>
      <c r="C2563" t="s">
        <v>2103</v>
      </c>
      <c r="D2563" t="str">
        <f>HYPERLINK("https://rhld.insurance.arkansas.gov/NPILookup?Npi=1396323614","1396323614")</f>
        <v>1396323614</v>
      </c>
      <c r="E2563" t="s">
        <v>2601</v>
      </c>
      <c r="F2563" t="s">
        <v>13</v>
      </c>
      <c r="G2563" s="20">
        <v>1</v>
      </c>
      <c r="H2563" t="s">
        <v>4357</v>
      </c>
      <c r="I2563" t="s">
        <v>4357</v>
      </c>
      <c r="J2563" s="9"/>
      <c r="K2563" s="9"/>
      <c r="L2563" s="9"/>
    </row>
    <row r="2564" spans="2:12" ht="15" x14ac:dyDescent="0.25">
      <c r="B2564" t="s">
        <v>2102</v>
      </c>
      <c r="C2564" t="s">
        <v>2103</v>
      </c>
      <c r="D2564" t="str">
        <f>HYPERLINK("https://rhld.insurance.arkansas.gov/NPILookup?Npi=1396464194","1396464194")</f>
        <v>1396464194</v>
      </c>
      <c r="E2564" t="s">
        <v>2603</v>
      </c>
      <c r="F2564" t="s">
        <v>12</v>
      </c>
      <c r="G2564" s="20">
        <v>1</v>
      </c>
      <c r="H2564" t="s">
        <v>4338</v>
      </c>
      <c r="I2564" t="s">
        <v>32</v>
      </c>
      <c r="J2564" s="9"/>
      <c r="K2564" s="9"/>
      <c r="L2564" s="9"/>
    </row>
    <row r="2565" spans="2:12" ht="15" x14ac:dyDescent="0.25">
      <c r="B2565" t="s">
        <v>2102</v>
      </c>
      <c r="C2565" t="s">
        <v>2103</v>
      </c>
      <c r="D2565" t="str">
        <f>HYPERLINK("https://rhld.insurance.arkansas.gov/NPILookup?Npi=1396551412","1396551412")</f>
        <v>1396551412</v>
      </c>
      <c r="E2565" t="s">
        <v>2067</v>
      </c>
      <c r="F2565" t="s">
        <v>13</v>
      </c>
      <c r="G2565" s="20">
        <v>1</v>
      </c>
      <c r="H2565" t="s">
        <v>4357</v>
      </c>
      <c r="I2565" t="s">
        <v>4357</v>
      </c>
      <c r="J2565" s="9"/>
      <c r="K2565" s="9"/>
      <c r="L2565" s="9"/>
    </row>
    <row r="2566" spans="2:12" ht="15" x14ac:dyDescent="0.25">
      <c r="B2566" t="s">
        <v>2102</v>
      </c>
      <c r="C2566" t="s">
        <v>2103</v>
      </c>
      <c r="D2566" t="str">
        <f>HYPERLINK("https://rhld.insurance.arkansas.gov/NPILookup?Npi=1396573119","1396573119")</f>
        <v>1396573119</v>
      </c>
      <c r="E2566" t="s">
        <v>2068</v>
      </c>
      <c r="F2566" t="s">
        <v>13</v>
      </c>
      <c r="G2566" s="20">
        <v>1</v>
      </c>
      <c r="H2566" t="s">
        <v>4357</v>
      </c>
      <c r="I2566" t="s">
        <v>4357</v>
      </c>
      <c r="J2566" s="9"/>
      <c r="K2566" s="9"/>
      <c r="L2566" s="9"/>
    </row>
    <row r="2567" spans="2:12" ht="15" x14ac:dyDescent="0.25">
      <c r="B2567" t="s">
        <v>2102</v>
      </c>
      <c r="C2567" t="s">
        <v>2103</v>
      </c>
      <c r="D2567" t="str">
        <f>HYPERLINK("https://rhld.insurance.arkansas.gov/NPILookup?Npi=1396732202","1396732202")</f>
        <v>1396732202</v>
      </c>
      <c r="E2567" t="s">
        <v>2604</v>
      </c>
      <c r="F2567" t="s">
        <v>12</v>
      </c>
      <c r="G2567" s="20">
        <v>1</v>
      </c>
      <c r="H2567" t="s">
        <v>4338</v>
      </c>
      <c r="I2567" t="s">
        <v>32</v>
      </c>
      <c r="J2567" s="9"/>
      <c r="K2567" s="9"/>
      <c r="L2567" s="9"/>
    </row>
    <row r="2568" spans="2:12" ht="15" x14ac:dyDescent="0.25">
      <c r="B2568" t="s">
        <v>2102</v>
      </c>
      <c r="C2568" t="s">
        <v>2103</v>
      </c>
      <c r="D2568" t="str">
        <f>HYPERLINK("https://rhld.insurance.arkansas.gov/NPILookup?Npi=1396747606","1396747606")</f>
        <v>1396747606</v>
      </c>
      <c r="E2568" t="s">
        <v>4541</v>
      </c>
      <c r="F2568" t="s">
        <v>12</v>
      </c>
      <c r="G2568" s="20">
        <v>1</v>
      </c>
      <c r="H2568" t="s">
        <v>4349</v>
      </c>
      <c r="I2568" t="s">
        <v>32</v>
      </c>
      <c r="J2568" s="9"/>
      <c r="K2568" s="9"/>
      <c r="L2568" s="9"/>
    </row>
    <row r="2569" spans="2:12" ht="15" x14ac:dyDescent="0.25">
      <c r="B2569" t="s">
        <v>2102</v>
      </c>
      <c r="C2569" t="s">
        <v>2103</v>
      </c>
      <c r="D2569" t="str">
        <f>HYPERLINK("https://rhld.insurance.arkansas.gov/NPILookup?Npi=1396771747","1396771747")</f>
        <v>1396771747</v>
      </c>
      <c r="E2569" t="s">
        <v>591</v>
      </c>
      <c r="F2569" t="s">
        <v>12</v>
      </c>
      <c r="G2569" s="20">
        <v>1</v>
      </c>
      <c r="H2569" t="s">
        <v>139</v>
      </c>
      <c r="I2569" t="s">
        <v>32</v>
      </c>
      <c r="J2569" s="9"/>
      <c r="K2569" s="9"/>
      <c r="L2569" s="9"/>
    </row>
    <row r="2570" spans="2:12" ht="15" x14ac:dyDescent="0.25">
      <c r="B2570" t="s">
        <v>2102</v>
      </c>
      <c r="C2570" t="s">
        <v>2103</v>
      </c>
      <c r="D2570" t="str">
        <f>HYPERLINK("https://rhld.insurance.arkansas.gov/NPILookup?Npi=1396817763","1396817763")</f>
        <v>1396817763</v>
      </c>
      <c r="E2570" t="s">
        <v>2605</v>
      </c>
      <c r="F2570" t="s">
        <v>12</v>
      </c>
      <c r="G2570" s="20">
        <v>1</v>
      </c>
      <c r="H2570" t="s">
        <v>4338</v>
      </c>
      <c r="I2570" t="s">
        <v>32</v>
      </c>
      <c r="J2570" s="9"/>
      <c r="K2570" s="9"/>
      <c r="L2570" s="9"/>
    </row>
    <row r="2571" spans="2:12" ht="15" x14ac:dyDescent="0.25">
      <c r="B2571" t="s">
        <v>2102</v>
      </c>
      <c r="C2571" t="s">
        <v>2103</v>
      </c>
      <c r="D2571" t="str">
        <f>HYPERLINK("https://rhld.insurance.arkansas.gov/NPILookup?Npi=1396852273","1396852273")</f>
        <v>1396852273</v>
      </c>
      <c r="E2571" t="s">
        <v>4542</v>
      </c>
      <c r="F2571" t="s">
        <v>12</v>
      </c>
      <c r="G2571" s="20">
        <v>1</v>
      </c>
      <c r="H2571" t="s">
        <v>4349</v>
      </c>
      <c r="I2571" t="s">
        <v>32</v>
      </c>
      <c r="J2571" s="9"/>
      <c r="K2571" s="9"/>
      <c r="L2571" s="9"/>
    </row>
    <row r="2572" spans="2:12" ht="15" x14ac:dyDescent="0.25">
      <c r="B2572" t="s">
        <v>2102</v>
      </c>
      <c r="C2572" t="s">
        <v>2103</v>
      </c>
      <c r="D2572" t="str">
        <f>HYPERLINK("https://rhld.insurance.arkansas.gov/NPILookup?Npi=1396881546","1396881546")</f>
        <v>1396881546</v>
      </c>
      <c r="E2572" t="s">
        <v>2606</v>
      </c>
      <c r="F2572" t="s">
        <v>12</v>
      </c>
      <c r="G2572" s="20">
        <v>1</v>
      </c>
      <c r="H2572" t="s">
        <v>4349</v>
      </c>
      <c r="I2572" t="s">
        <v>32</v>
      </c>
      <c r="J2572" s="9"/>
      <c r="K2572" s="9"/>
      <c r="L2572" s="9"/>
    </row>
    <row r="2573" spans="2:12" ht="15" x14ac:dyDescent="0.25">
      <c r="B2573" t="s">
        <v>2102</v>
      </c>
      <c r="C2573" t="s">
        <v>2103</v>
      </c>
      <c r="D2573" t="str">
        <f>HYPERLINK("https://rhld.insurance.arkansas.gov/NPILookup?Npi=1396921623","1396921623")</f>
        <v>1396921623</v>
      </c>
      <c r="E2573" t="s">
        <v>2607</v>
      </c>
      <c r="F2573" t="s">
        <v>12</v>
      </c>
      <c r="G2573" s="20">
        <v>1</v>
      </c>
      <c r="H2573" t="s">
        <v>4349</v>
      </c>
      <c r="I2573" t="s">
        <v>4357</v>
      </c>
      <c r="J2573" s="9"/>
      <c r="K2573" s="9"/>
      <c r="L2573" s="9"/>
    </row>
    <row r="2574" spans="2:12" ht="15" x14ac:dyDescent="0.25">
      <c r="B2574" t="s">
        <v>2102</v>
      </c>
      <c r="C2574" t="s">
        <v>2103</v>
      </c>
      <c r="D2574" t="str">
        <f>HYPERLINK("https://rhld.insurance.arkansas.gov/NPILookup?Npi=1407023864","1407023864")</f>
        <v>1407023864</v>
      </c>
      <c r="E2574" t="s">
        <v>2608</v>
      </c>
      <c r="F2574" t="s">
        <v>12</v>
      </c>
      <c r="G2574" s="20">
        <v>1</v>
      </c>
      <c r="H2574" t="s">
        <v>4349</v>
      </c>
      <c r="I2574" t="s">
        <v>4357</v>
      </c>
      <c r="J2574" s="9"/>
      <c r="K2574" s="9"/>
      <c r="L2574" s="9"/>
    </row>
    <row r="2575" spans="2:12" ht="15" x14ac:dyDescent="0.25">
      <c r="B2575" t="s">
        <v>2102</v>
      </c>
      <c r="C2575" t="s">
        <v>2103</v>
      </c>
      <c r="D2575" t="str">
        <f>HYPERLINK("https://rhld.insurance.arkansas.gov/NPILookup?Npi=1407121544","1407121544")</f>
        <v>1407121544</v>
      </c>
      <c r="E2575" t="s">
        <v>2609</v>
      </c>
      <c r="F2575" t="s">
        <v>13</v>
      </c>
      <c r="G2575" s="20">
        <v>1</v>
      </c>
      <c r="H2575" t="s">
        <v>4357</v>
      </c>
      <c r="I2575" t="s">
        <v>4357</v>
      </c>
      <c r="J2575" s="9"/>
      <c r="K2575" s="9"/>
      <c r="L2575" s="9"/>
    </row>
    <row r="2576" spans="2:12" ht="15" x14ac:dyDescent="0.25">
      <c r="B2576" t="s">
        <v>2102</v>
      </c>
      <c r="C2576" t="s">
        <v>2103</v>
      </c>
      <c r="D2576" t="str">
        <f>HYPERLINK("https://rhld.insurance.arkansas.gov/NPILookup?Npi=1407163322","1407163322")</f>
        <v>1407163322</v>
      </c>
      <c r="E2576" t="s">
        <v>2610</v>
      </c>
      <c r="F2576" t="s">
        <v>12</v>
      </c>
      <c r="G2576" s="20">
        <v>1</v>
      </c>
      <c r="H2576" t="s">
        <v>4338</v>
      </c>
      <c r="I2576" t="s">
        <v>32</v>
      </c>
      <c r="J2576" s="9"/>
      <c r="K2576" s="9"/>
      <c r="L2576" s="9"/>
    </row>
    <row r="2577" spans="2:12" ht="15" x14ac:dyDescent="0.25">
      <c r="B2577" t="s">
        <v>2102</v>
      </c>
      <c r="C2577" t="s">
        <v>2103</v>
      </c>
      <c r="D2577" t="str">
        <f>HYPERLINK("https://rhld.insurance.arkansas.gov/NPILookup?Npi=1407174295","1407174295")</f>
        <v>1407174295</v>
      </c>
      <c r="E2577" t="s">
        <v>2611</v>
      </c>
      <c r="F2577" t="s">
        <v>12</v>
      </c>
      <c r="G2577" s="20">
        <v>1</v>
      </c>
      <c r="H2577" t="s">
        <v>4349</v>
      </c>
      <c r="I2577" t="s">
        <v>32</v>
      </c>
      <c r="J2577" s="9"/>
      <c r="K2577" s="9"/>
      <c r="L2577" s="9"/>
    </row>
    <row r="2578" spans="2:12" ht="15" x14ac:dyDescent="0.25">
      <c r="B2578" t="s">
        <v>2102</v>
      </c>
      <c r="C2578" t="s">
        <v>2103</v>
      </c>
      <c r="D2578" t="str">
        <f>HYPERLINK("https://rhld.insurance.arkansas.gov/NPILookup?Npi=1407195324","1407195324")</f>
        <v>1407195324</v>
      </c>
      <c r="E2578" t="s">
        <v>2612</v>
      </c>
      <c r="F2578" t="s">
        <v>13</v>
      </c>
      <c r="G2578" s="20">
        <v>1</v>
      </c>
      <c r="H2578" t="s">
        <v>4357</v>
      </c>
      <c r="I2578" t="s">
        <v>4357</v>
      </c>
      <c r="J2578" s="9"/>
      <c r="K2578" s="9"/>
      <c r="L2578" s="9"/>
    </row>
    <row r="2579" spans="2:12" ht="15" x14ac:dyDescent="0.25">
      <c r="B2579" t="s">
        <v>2102</v>
      </c>
      <c r="C2579" t="s">
        <v>2103</v>
      </c>
      <c r="D2579" t="str">
        <f>HYPERLINK("https://rhld.insurance.arkansas.gov/NPILookup?Npi=1407249311","1407249311")</f>
        <v>1407249311</v>
      </c>
      <c r="E2579" t="s">
        <v>2614</v>
      </c>
      <c r="F2579" t="s">
        <v>13</v>
      </c>
      <c r="G2579" s="20">
        <v>1</v>
      </c>
      <c r="H2579" t="s">
        <v>87</v>
      </c>
      <c r="I2579" t="s">
        <v>32</v>
      </c>
      <c r="J2579" s="9"/>
      <c r="K2579" s="9"/>
      <c r="L2579" s="9"/>
    </row>
    <row r="2580" spans="2:12" ht="15" x14ac:dyDescent="0.25">
      <c r="B2580" t="s">
        <v>2102</v>
      </c>
      <c r="C2580" t="s">
        <v>2103</v>
      </c>
      <c r="D2580" t="str">
        <f>HYPERLINK("https://rhld.insurance.arkansas.gov/NPILookup?Npi=1407421332","1407421332")</f>
        <v>1407421332</v>
      </c>
      <c r="E2580" t="s">
        <v>2615</v>
      </c>
      <c r="F2580" t="s">
        <v>13</v>
      </c>
      <c r="G2580" s="20">
        <v>1</v>
      </c>
      <c r="H2580" t="s">
        <v>4357</v>
      </c>
      <c r="I2580" t="s">
        <v>4357</v>
      </c>
      <c r="J2580" s="9"/>
      <c r="K2580" s="9"/>
      <c r="L2580" s="9"/>
    </row>
    <row r="2581" spans="2:12" ht="15" x14ac:dyDescent="0.25">
      <c r="B2581" t="s">
        <v>2102</v>
      </c>
      <c r="C2581" t="s">
        <v>2103</v>
      </c>
      <c r="D2581" t="str">
        <f>HYPERLINK("https://rhld.insurance.arkansas.gov/NPILookup?Npi=1407484926","1407484926")</f>
        <v>1407484926</v>
      </c>
      <c r="E2581" t="s">
        <v>2616</v>
      </c>
      <c r="F2581" t="s">
        <v>12</v>
      </c>
      <c r="G2581" s="20">
        <v>1</v>
      </c>
      <c r="H2581" t="s">
        <v>4349</v>
      </c>
      <c r="I2581" t="s">
        <v>32</v>
      </c>
      <c r="J2581" s="9"/>
      <c r="K2581" s="9"/>
      <c r="L2581" s="9"/>
    </row>
    <row r="2582" spans="2:12" ht="15" x14ac:dyDescent="0.25">
      <c r="B2582" t="s">
        <v>2102</v>
      </c>
      <c r="C2582" t="s">
        <v>2103</v>
      </c>
      <c r="D2582" t="str">
        <f>HYPERLINK("https://rhld.insurance.arkansas.gov/NPILookup?Npi=1407566755","1407566755")</f>
        <v>1407566755</v>
      </c>
      <c r="E2582" t="s">
        <v>2617</v>
      </c>
      <c r="F2582" t="s">
        <v>12</v>
      </c>
      <c r="G2582" s="20">
        <v>1</v>
      </c>
      <c r="H2582" t="s">
        <v>4338</v>
      </c>
      <c r="I2582" t="s">
        <v>32</v>
      </c>
      <c r="J2582" s="9"/>
      <c r="K2582" s="9"/>
      <c r="L2582" s="9"/>
    </row>
    <row r="2583" spans="2:12" ht="15" x14ac:dyDescent="0.25">
      <c r="B2583" t="s">
        <v>2102</v>
      </c>
      <c r="C2583" t="s">
        <v>2103</v>
      </c>
      <c r="D2583" t="str">
        <f>HYPERLINK("https://rhld.insurance.arkansas.gov/NPILookup?Npi=1407683758","1407683758")</f>
        <v>1407683758</v>
      </c>
      <c r="E2583" t="s">
        <v>2618</v>
      </c>
      <c r="F2583" t="s">
        <v>13</v>
      </c>
      <c r="G2583" s="20">
        <v>1</v>
      </c>
      <c r="H2583" t="s">
        <v>4357</v>
      </c>
      <c r="I2583" t="s">
        <v>4357</v>
      </c>
      <c r="J2583" s="9"/>
      <c r="K2583" s="9"/>
      <c r="L2583" s="9"/>
    </row>
    <row r="2584" spans="2:12" ht="15" x14ac:dyDescent="0.25">
      <c r="B2584" t="s">
        <v>2102</v>
      </c>
      <c r="C2584" t="s">
        <v>2103</v>
      </c>
      <c r="D2584" t="str">
        <f>HYPERLINK("https://rhld.insurance.arkansas.gov/NPILookup?Npi=1407694722","1407694722")</f>
        <v>1407694722</v>
      </c>
      <c r="E2584" t="s">
        <v>2619</v>
      </c>
      <c r="F2584" t="s">
        <v>13</v>
      </c>
      <c r="G2584" s="20">
        <v>1</v>
      </c>
      <c r="H2584" t="s">
        <v>4357</v>
      </c>
      <c r="I2584" t="s">
        <v>4357</v>
      </c>
      <c r="J2584" s="9"/>
      <c r="K2584" s="9"/>
      <c r="L2584" s="9"/>
    </row>
    <row r="2585" spans="2:12" ht="15" x14ac:dyDescent="0.25">
      <c r="B2585" t="s">
        <v>2102</v>
      </c>
      <c r="C2585" t="s">
        <v>2103</v>
      </c>
      <c r="D2585" t="str">
        <f>HYPERLINK("https://rhld.insurance.arkansas.gov/NPILookup?Npi=1407696123","1407696123")</f>
        <v>1407696123</v>
      </c>
      <c r="E2585" t="s">
        <v>2620</v>
      </c>
      <c r="F2585" t="s">
        <v>13</v>
      </c>
      <c r="G2585" s="20">
        <v>1</v>
      </c>
      <c r="H2585" t="s">
        <v>4357</v>
      </c>
      <c r="I2585" t="s">
        <v>4357</v>
      </c>
      <c r="J2585" s="9"/>
      <c r="K2585" s="9"/>
      <c r="L2585" s="9"/>
    </row>
    <row r="2586" spans="2:12" ht="15" x14ac:dyDescent="0.25">
      <c r="B2586" t="s">
        <v>2102</v>
      </c>
      <c r="C2586" t="s">
        <v>2103</v>
      </c>
      <c r="D2586" t="str">
        <f>HYPERLINK("https://rhld.insurance.arkansas.gov/NPILookup?Npi=1407801723","1407801723")</f>
        <v>1407801723</v>
      </c>
      <c r="E2586" t="s">
        <v>2621</v>
      </c>
      <c r="F2586" t="s">
        <v>12</v>
      </c>
      <c r="G2586" s="20">
        <v>1</v>
      </c>
      <c r="H2586" t="s">
        <v>139</v>
      </c>
      <c r="I2586" t="s">
        <v>32</v>
      </c>
      <c r="J2586" s="9"/>
      <c r="K2586" s="9"/>
      <c r="L2586" s="9"/>
    </row>
    <row r="2587" spans="2:12" ht="15" x14ac:dyDescent="0.25">
      <c r="B2587" t="s">
        <v>2102</v>
      </c>
      <c r="C2587" t="s">
        <v>2103</v>
      </c>
      <c r="D2587" t="str">
        <f>HYPERLINK("https://rhld.insurance.arkansas.gov/NPILookup?Npi=1407805567","1407805567")</f>
        <v>1407805567</v>
      </c>
      <c r="E2587" t="s">
        <v>2164</v>
      </c>
      <c r="F2587" t="s">
        <v>12</v>
      </c>
      <c r="G2587" s="20">
        <v>1</v>
      </c>
      <c r="H2587" t="s">
        <v>4349</v>
      </c>
      <c r="I2587" t="s">
        <v>4357</v>
      </c>
      <c r="J2587" s="9"/>
      <c r="K2587" s="9"/>
      <c r="L2587" s="9"/>
    </row>
    <row r="2588" spans="2:12" ht="15" x14ac:dyDescent="0.25">
      <c r="B2588" t="s">
        <v>2102</v>
      </c>
      <c r="C2588" t="s">
        <v>2103</v>
      </c>
      <c r="D2588" t="str">
        <f>HYPERLINK("https://rhld.insurance.arkansas.gov/NPILookup?Npi=1407967235","1407967235")</f>
        <v>1407967235</v>
      </c>
      <c r="E2588" t="s">
        <v>4543</v>
      </c>
      <c r="F2588" t="s">
        <v>12</v>
      </c>
      <c r="G2588" s="20">
        <v>1</v>
      </c>
      <c r="H2588" t="s">
        <v>4349</v>
      </c>
      <c r="I2588" t="s">
        <v>32</v>
      </c>
      <c r="J2588" s="9"/>
      <c r="K2588" s="9"/>
      <c r="L2588" s="9"/>
    </row>
    <row r="2589" spans="2:12" ht="15" x14ac:dyDescent="0.25">
      <c r="B2589" t="s">
        <v>2102</v>
      </c>
      <c r="C2589" t="s">
        <v>2103</v>
      </c>
      <c r="D2589" t="str">
        <f>HYPERLINK("https://rhld.insurance.arkansas.gov/NPILookup?Npi=1417149253","1417149253")</f>
        <v>1417149253</v>
      </c>
      <c r="E2589" t="s">
        <v>2623</v>
      </c>
      <c r="F2589" t="s">
        <v>12</v>
      </c>
      <c r="G2589" s="20">
        <v>1</v>
      </c>
      <c r="H2589" t="s">
        <v>139</v>
      </c>
      <c r="I2589" t="s">
        <v>4357</v>
      </c>
      <c r="J2589" s="9"/>
      <c r="K2589" s="9"/>
      <c r="L2589" s="9"/>
    </row>
    <row r="2590" spans="2:12" ht="15" x14ac:dyDescent="0.25">
      <c r="B2590" t="s">
        <v>2102</v>
      </c>
      <c r="C2590" t="s">
        <v>2103</v>
      </c>
      <c r="D2590" t="str">
        <f>HYPERLINK("https://rhld.insurance.arkansas.gov/NPILookup?Npi=1417238981","1417238981")</f>
        <v>1417238981</v>
      </c>
      <c r="E2590" t="s">
        <v>2624</v>
      </c>
      <c r="F2590" t="s">
        <v>12</v>
      </c>
      <c r="G2590" s="20">
        <v>1</v>
      </c>
      <c r="H2590" t="s">
        <v>4338</v>
      </c>
      <c r="I2590" t="s">
        <v>32</v>
      </c>
      <c r="J2590" s="9"/>
      <c r="K2590" s="9"/>
      <c r="L2590" s="9"/>
    </row>
    <row r="2591" spans="2:12" ht="15" x14ac:dyDescent="0.25">
      <c r="B2591" t="s">
        <v>2102</v>
      </c>
      <c r="C2591" t="s">
        <v>2103</v>
      </c>
      <c r="D2591" t="str">
        <f>HYPERLINK("https://rhld.insurance.arkansas.gov/NPILookup?Npi=1417261926","1417261926")</f>
        <v>1417261926</v>
      </c>
      <c r="E2591" t="s">
        <v>2625</v>
      </c>
      <c r="F2591" t="s">
        <v>12</v>
      </c>
      <c r="G2591" s="20">
        <v>1</v>
      </c>
      <c r="H2591" t="s">
        <v>4349</v>
      </c>
      <c r="I2591" t="s">
        <v>4357</v>
      </c>
      <c r="J2591" s="9"/>
      <c r="K2591" s="9"/>
      <c r="L2591" s="9"/>
    </row>
    <row r="2592" spans="2:12" ht="15" x14ac:dyDescent="0.25">
      <c r="B2592" t="s">
        <v>2102</v>
      </c>
      <c r="C2592" t="s">
        <v>2103</v>
      </c>
      <c r="D2592" t="str">
        <f>HYPERLINK("https://rhld.insurance.arkansas.gov/NPILookup?Npi=1417290412","1417290412")</f>
        <v>1417290412</v>
      </c>
      <c r="E2592" t="s">
        <v>2626</v>
      </c>
      <c r="F2592" t="s">
        <v>12</v>
      </c>
      <c r="G2592" s="20">
        <v>1</v>
      </c>
      <c r="H2592" t="s">
        <v>4349</v>
      </c>
      <c r="I2592" t="s">
        <v>32</v>
      </c>
      <c r="J2592" s="9"/>
      <c r="K2592" s="9"/>
      <c r="L2592" s="9"/>
    </row>
    <row r="2593" spans="2:12" ht="15" x14ac:dyDescent="0.25">
      <c r="B2593" t="s">
        <v>2102</v>
      </c>
      <c r="C2593" t="s">
        <v>2103</v>
      </c>
      <c r="D2593" t="str">
        <f>HYPERLINK("https://rhld.insurance.arkansas.gov/NPILookup?Npi=1417354283","1417354283")</f>
        <v>1417354283</v>
      </c>
      <c r="E2593" t="s">
        <v>2627</v>
      </c>
      <c r="F2593" t="s">
        <v>12</v>
      </c>
      <c r="G2593" s="20">
        <v>1</v>
      </c>
      <c r="H2593" t="s">
        <v>4349</v>
      </c>
      <c r="I2593" t="s">
        <v>4357</v>
      </c>
      <c r="J2593" s="9"/>
      <c r="K2593" s="9"/>
      <c r="L2593" s="9"/>
    </row>
    <row r="2594" spans="2:12" ht="15" x14ac:dyDescent="0.25">
      <c r="B2594" t="s">
        <v>2102</v>
      </c>
      <c r="C2594" t="s">
        <v>2103</v>
      </c>
      <c r="D2594" t="str">
        <f>HYPERLINK("https://rhld.insurance.arkansas.gov/NPILookup?Npi=1417362708","1417362708")</f>
        <v>1417362708</v>
      </c>
      <c r="E2594" t="s">
        <v>4544</v>
      </c>
      <c r="F2594" t="s">
        <v>12</v>
      </c>
      <c r="G2594" s="20">
        <v>1</v>
      </c>
      <c r="H2594" t="s">
        <v>4349</v>
      </c>
      <c r="I2594" t="s">
        <v>4357</v>
      </c>
      <c r="J2594" s="9"/>
      <c r="K2594" s="9"/>
      <c r="L2594" s="9"/>
    </row>
    <row r="2595" spans="2:12" ht="15" x14ac:dyDescent="0.25">
      <c r="B2595" t="s">
        <v>2102</v>
      </c>
      <c r="C2595" t="s">
        <v>2103</v>
      </c>
      <c r="D2595" t="str">
        <f>HYPERLINK("https://rhld.insurance.arkansas.gov/NPILookup?Npi=1417373283","1417373283")</f>
        <v>1417373283</v>
      </c>
      <c r="E2595" t="s">
        <v>1693</v>
      </c>
      <c r="F2595" t="s">
        <v>13</v>
      </c>
      <c r="G2595" s="20">
        <v>1</v>
      </c>
      <c r="H2595" t="s">
        <v>4357</v>
      </c>
      <c r="I2595" t="s">
        <v>4357</v>
      </c>
      <c r="J2595" s="9"/>
      <c r="K2595" s="9"/>
      <c r="L2595" s="9"/>
    </row>
    <row r="2596" spans="2:12" ht="15" x14ac:dyDescent="0.25">
      <c r="B2596" t="s">
        <v>2102</v>
      </c>
      <c r="C2596" t="s">
        <v>2103</v>
      </c>
      <c r="D2596" t="str">
        <f>HYPERLINK("https://rhld.insurance.arkansas.gov/NPILookup?Npi=1417376203","1417376203")</f>
        <v>1417376203</v>
      </c>
      <c r="E2596" t="s">
        <v>2628</v>
      </c>
      <c r="F2596" t="s">
        <v>12</v>
      </c>
      <c r="G2596" s="20">
        <v>1</v>
      </c>
      <c r="H2596" t="s">
        <v>4338</v>
      </c>
      <c r="I2596" t="s">
        <v>32</v>
      </c>
      <c r="J2596" s="9"/>
      <c r="K2596" s="9"/>
      <c r="L2596" s="9"/>
    </row>
    <row r="2597" spans="2:12" ht="15" x14ac:dyDescent="0.25">
      <c r="B2597" t="s">
        <v>2102</v>
      </c>
      <c r="C2597" t="s">
        <v>2103</v>
      </c>
      <c r="D2597" t="str">
        <f>HYPERLINK("https://rhld.insurance.arkansas.gov/NPILookup?Npi=1417396599","1417396599")</f>
        <v>1417396599</v>
      </c>
      <c r="E2597" t="s">
        <v>2630</v>
      </c>
      <c r="F2597" t="s">
        <v>12</v>
      </c>
      <c r="G2597" s="20">
        <v>1</v>
      </c>
      <c r="H2597" t="s">
        <v>4349</v>
      </c>
      <c r="I2597" t="s">
        <v>4357</v>
      </c>
      <c r="J2597" s="9"/>
      <c r="K2597" s="9"/>
      <c r="L2597" s="9"/>
    </row>
    <row r="2598" spans="2:12" ht="15" x14ac:dyDescent="0.25">
      <c r="B2598" t="s">
        <v>2102</v>
      </c>
      <c r="C2598" t="s">
        <v>2103</v>
      </c>
      <c r="D2598" t="str">
        <f>HYPERLINK("https://rhld.insurance.arkansas.gov/NPILookup?Npi=1417405986","1417405986")</f>
        <v>1417405986</v>
      </c>
      <c r="E2598" t="s">
        <v>2631</v>
      </c>
      <c r="F2598" t="s">
        <v>12</v>
      </c>
      <c r="G2598" s="20">
        <v>1</v>
      </c>
      <c r="H2598" t="s">
        <v>4338</v>
      </c>
      <c r="I2598" t="s">
        <v>32</v>
      </c>
      <c r="J2598" s="9"/>
      <c r="K2598" s="9"/>
      <c r="L2598" s="9"/>
    </row>
    <row r="2599" spans="2:12" ht="15" x14ac:dyDescent="0.25">
      <c r="B2599" t="s">
        <v>2102</v>
      </c>
      <c r="C2599" t="s">
        <v>2103</v>
      </c>
      <c r="D2599" t="str">
        <f>HYPERLINK("https://rhld.insurance.arkansas.gov/NPILookup?Npi=1417454620","1417454620")</f>
        <v>1417454620</v>
      </c>
      <c r="E2599" t="s">
        <v>2632</v>
      </c>
      <c r="F2599" t="s">
        <v>12</v>
      </c>
      <c r="G2599" s="20">
        <v>1</v>
      </c>
      <c r="H2599" t="s">
        <v>4349</v>
      </c>
      <c r="I2599" t="s">
        <v>32</v>
      </c>
      <c r="J2599" s="9"/>
      <c r="K2599" s="9"/>
      <c r="L2599" s="9"/>
    </row>
    <row r="2600" spans="2:12" ht="15" x14ac:dyDescent="0.25">
      <c r="B2600" t="s">
        <v>2102</v>
      </c>
      <c r="C2600" t="s">
        <v>2103</v>
      </c>
      <c r="D2600" t="str">
        <f>HYPERLINK("https://rhld.insurance.arkansas.gov/NPILookup?Npi=1417488164","1417488164")</f>
        <v>1417488164</v>
      </c>
      <c r="E2600" t="s">
        <v>2634</v>
      </c>
      <c r="F2600" t="s">
        <v>12</v>
      </c>
      <c r="G2600" s="20">
        <v>1</v>
      </c>
      <c r="H2600" t="s">
        <v>4349</v>
      </c>
      <c r="I2600" t="s">
        <v>4357</v>
      </c>
      <c r="J2600" s="9"/>
      <c r="K2600" s="9"/>
      <c r="L2600" s="9"/>
    </row>
    <row r="2601" spans="2:12" ht="15" x14ac:dyDescent="0.25">
      <c r="B2601" t="s">
        <v>2102</v>
      </c>
      <c r="C2601" t="s">
        <v>2103</v>
      </c>
      <c r="D2601" t="str">
        <f>HYPERLINK("https://rhld.insurance.arkansas.gov/NPILookup?Npi=1417720723","1417720723")</f>
        <v>1417720723</v>
      </c>
      <c r="E2601" t="s">
        <v>2069</v>
      </c>
      <c r="F2601" t="s">
        <v>13</v>
      </c>
      <c r="G2601" s="20">
        <v>1</v>
      </c>
      <c r="H2601" t="s">
        <v>4357</v>
      </c>
      <c r="I2601" t="s">
        <v>4357</v>
      </c>
      <c r="J2601" s="9"/>
      <c r="K2601" s="9"/>
      <c r="L2601" s="9"/>
    </row>
    <row r="2602" spans="2:12" ht="15" x14ac:dyDescent="0.25">
      <c r="B2602" t="s">
        <v>2102</v>
      </c>
      <c r="C2602" t="s">
        <v>2103</v>
      </c>
      <c r="D2602" t="str">
        <f>HYPERLINK("https://rhld.insurance.arkansas.gov/NPILookup?Npi=1417793860","1417793860")</f>
        <v>1417793860</v>
      </c>
      <c r="E2602" t="s">
        <v>2636</v>
      </c>
      <c r="F2602" t="s">
        <v>13</v>
      </c>
      <c r="G2602" s="20">
        <v>1</v>
      </c>
      <c r="H2602" t="s">
        <v>4357</v>
      </c>
      <c r="I2602" t="s">
        <v>4357</v>
      </c>
      <c r="J2602" s="9"/>
      <c r="K2602" s="9"/>
      <c r="L2602" s="9"/>
    </row>
    <row r="2603" spans="2:12" ht="15" x14ac:dyDescent="0.25">
      <c r="B2603" t="s">
        <v>2102</v>
      </c>
      <c r="C2603" t="s">
        <v>2103</v>
      </c>
      <c r="D2603" t="str">
        <f>HYPERLINK("https://rhld.insurance.arkansas.gov/NPILookup?Npi=1417796749","1417796749")</f>
        <v>1417796749</v>
      </c>
      <c r="E2603" t="s">
        <v>2637</v>
      </c>
      <c r="F2603" t="s">
        <v>13</v>
      </c>
      <c r="G2603" s="20">
        <v>1</v>
      </c>
      <c r="H2603" t="s">
        <v>4357</v>
      </c>
      <c r="I2603" t="s">
        <v>4357</v>
      </c>
      <c r="J2603" s="9"/>
      <c r="K2603" s="9"/>
      <c r="L2603" s="9"/>
    </row>
    <row r="2604" spans="2:12" ht="15" x14ac:dyDescent="0.25">
      <c r="B2604" t="s">
        <v>2102</v>
      </c>
      <c r="C2604" t="s">
        <v>2103</v>
      </c>
      <c r="D2604" t="str">
        <f>HYPERLINK("https://rhld.insurance.arkansas.gov/NPILookup?Npi=1417908401","1417908401")</f>
        <v>1417908401</v>
      </c>
      <c r="E2604" t="s">
        <v>2638</v>
      </c>
      <c r="F2604" t="s">
        <v>12</v>
      </c>
      <c r="G2604" s="20">
        <v>1</v>
      </c>
      <c r="H2604" t="s">
        <v>139</v>
      </c>
      <c r="I2604" t="s">
        <v>32</v>
      </c>
      <c r="J2604" s="9"/>
      <c r="K2604" s="9"/>
      <c r="L2604" s="9"/>
    </row>
    <row r="2605" spans="2:12" ht="15" x14ac:dyDescent="0.25">
      <c r="B2605" t="s">
        <v>2102</v>
      </c>
      <c r="C2605" t="s">
        <v>2103</v>
      </c>
      <c r="D2605" t="str">
        <f>HYPERLINK("https://rhld.insurance.arkansas.gov/NPILookup?Npi=1417993379","1417993379")</f>
        <v>1417993379</v>
      </c>
      <c r="E2605" t="s">
        <v>2640</v>
      </c>
      <c r="F2605" t="s">
        <v>12</v>
      </c>
      <c r="G2605" s="20">
        <v>1</v>
      </c>
      <c r="H2605" t="s">
        <v>4338</v>
      </c>
      <c r="I2605" t="s">
        <v>32</v>
      </c>
      <c r="J2605" s="9"/>
      <c r="K2605" s="9"/>
      <c r="L2605" s="9"/>
    </row>
    <row r="2606" spans="2:12" ht="15" x14ac:dyDescent="0.25">
      <c r="B2606" t="s">
        <v>2102</v>
      </c>
      <c r="C2606" t="s">
        <v>2103</v>
      </c>
      <c r="D2606" t="str">
        <f>HYPERLINK("https://rhld.insurance.arkansas.gov/NPILookup?Npi=1427021435","1427021435")</f>
        <v>1427021435</v>
      </c>
      <c r="E2606" t="s">
        <v>2641</v>
      </c>
      <c r="F2606" t="s">
        <v>13</v>
      </c>
      <c r="G2606" s="20">
        <v>1</v>
      </c>
      <c r="H2606" t="s">
        <v>4357</v>
      </c>
      <c r="I2606" t="s">
        <v>4357</v>
      </c>
      <c r="J2606" s="9"/>
      <c r="K2606" s="9"/>
      <c r="L2606" s="9"/>
    </row>
    <row r="2607" spans="2:12" ht="15" x14ac:dyDescent="0.25">
      <c r="B2607" t="s">
        <v>2102</v>
      </c>
      <c r="C2607" t="s">
        <v>2103</v>
      </c>
      <c r="D2607" t="str">
        <f>HYPERLINK("https://rhld.insurance.arkansas.gov/NPILookup?Npi=1427056894","1427056894")</f>
        <v>1427056894</v>
      </c>
      <c r="E2607" t="s">
        <v>1229</v>
      </c>
      <c r="F2607" t="s">
        <v>12</v>
      </c>
      <c r="G2607" s="20">
        <v>1</v>
      </c>
      <c r="H2607" t="s">
        <v>4349</v>
      </c>
      <c r="I2607" t="s">
        <v>4357</v>
      </c>
      <c r="J2607" s="9"/>
      <c r="K2607" s="9"/>
      <c r="L2607" s="9"/>
    </row>
    <row r="2608" spans="2:12" ht="15" x14ac:dyDescent="0.25">
      <c r="B2608" t="s">
        <v>2102</v>
      </c>
      <c r="C2608" t="s">
        <v>2103</v>
      </c>
      <c r="D2608" t="str">
        <f>HYPERLINK("https://rhld.insurance.arkansas.gov/NPILookup?Npi=1427099712","1427099712")</f>
        <v>1427099712</v>
      </c>
      <c r="E2608" t="s">
        <v>2643</v>
      </c>
      <c r="F2608" t="s">
        <v>12</v>
      </c>
      <c r="G2608" s="20">
        <v>1</v>
      </c>
      <c r="H2608" t="s">
        <v>4349</v>
      </c>
      <c r="I2608" t="s">
        <v>32</v>
      </c>
      <c r="J2608" s="9"/>
      <c r="K2608" s="9"/>
      <c r="L2608" s="9"/>
    </row>
    <row r="2609" spans="2:12" ht="15" x14ac:dyDescent="0.25">
      <c r="B2609" t="s">
        <v>2102</v>
      </c>
      <c r="C2609" t="s">
        <v>2103</v>
      </c>
      <c r="D2609" t="str">
        <f>HYPERLINK("https://rhld.insurance.arkansas.gov/NPILookup?Npi=1427139476","1427139476")</f>
        <v>1427139476</v>
      </c>
      <c r="E2609" t="s">
        <v>4545</v>
      </c>
      <c r="F2609" t="s">
        <v>12</v>
      </c>
      <c r="G2609" s="20">
        <v>1</v>
      </c>
      <c r="H2609" t="s">
        <v>4349</v>
      </c>
      <c r="I2609" t="s">
        <v>32</v>
      </c>
      <c r="J2609" s="9"/>
      <c r="K2609" s="9"/>
      <c r="L2609" s="9"/>
    </row>
    <row r="2610" spans="2:12" ht="15" x14ac:dyDescent="0.25">
      <c r="B2610" t="s">
        <v>2102</v>
      </c>
      <c r="C2610" t="s">
        <v>2103</v>
      </c>
      <c r="D2610" t="str">
        <f>HYPERLINK("https://rhld.insurance.arkansas.gov/NPILookup?Npi=1427146174","1427146174")</f>
        <v>1427146174</v>
      </c>
      <c r="E2610" t="s">
        <v>2644</v>
      </c>
      <c r="F2610" t="s">
        <v>12</v>
      </c>
      <c r="G2610" s="20">
        <v>1</v>
      </c>
      <c r="H2610" t="s">
        <v>4338</v>
      </c>
      <c r="I2610" t="s">
        <v>32</v>
      </c>
      <c r="J2610" s="9"/>
      <c r="K2610" s="9"/>
      <c r="L2610" s="9"/>
    </row>
    <row r="2611" spans="2:12" ht="15" x14ac:dyDescent="0.25">
      <c r="B2611" t="s">
        <v>2102</v>
      </c>
      <c r="C2611" t="s">
        <v>2103</v>
      </c>
      <c r="D2611" t="str">
        <f>HYPERLINK("https://rhld.insurance.arkansas.gov/NPILookup?Npi=1427148998","1427148998")</f>
        <v>1427148998</v>
      </c>
      <c r="E2611" t="s">
        <v>4546</v>
      </c>
      <c r="F2611" t="s">
        <v>12</v>
      </c>
      <c r="G2611" s="20">
        <v>1</v>
      </c>
      <c r="H2611" t="s">
        <v>4349</v>
      </c>
      <c r="I2611" t="s">
        <v>32</v>
      </c>
      <c r="J2611" s="9"/>
      <c r="K2611" s="9"/>
      <c r="L2611" s="9"/>
    </row>
    <row r="2612" spans="2:12" ht="15" x14ac:dyDescent="0.25">
      <c r="B2612" t="s">
        <v>2102</v>
      </c>
      <c r="C2612" t="s">
        <v>2103</v>
      </c>
      <c r="D2612" t="str">
        <f>HYPERLINK("https://rhld.insurance.arkansas.gov/NPILookup?Npi=1427160910","1427160910")</f>
        <v>1427160910</v>
      </c>
      <c r="E2612" t="s">
        <v>2645</v>
      </c>
      <c r="F2612" t="s">
        <v>12</v>
      </c>
      <c r="G2612" s="20">
        <v>1</v>
      </c>
      <c r="H2612" t="s">
        <v>4338</v>
      </c>
      <c r="I2612" t="s">
        <v>32</v>
      </c>
      <c r="J2612" s="9"/>
      <c r="K2612" s="9"/>
      <c r="L2612" s="9"/>
    </row>
    <row r="2613" spans="2:12" ht="15" x14ac:dyDescent="0.25">
      <c r="B2613" t="s">
        <v>2102</v>
      </c>
      <c r="C2613" t="s">
        <v>2103</v>
      </c>
      <c r="D2613" t="str">
        <f>HYPERLINK("https://rhld.insurance.arkansas.gov/NPILookup?Npi=1427210004","1427210004")</f>
        <v>1427210004</v>
      </c>
      <c r="E2613" t="s">
        <v>2646</v>
      </c>
      <c r="F2613" t="s">
        <v>12</v>
      </c>
      <c r="G2613" s="20">
        <v>1</v>
      </c>
      <c r="H2613" t="s">
        <v>4349</v>
      </c>
      <c r="I2613" t="s">
        <v>32</v>
      </c>
      <c r="J2613" s="9"/>
      <c r="K2613" s="9"/>
      <c r="L2613" s="9"/>
    </row>
    <row r="2614" spans="2:12" ht="15" x14ac:dyDescent="0.25">
      <c r="B2614" t="s">
        <v>2102</v>
      </c>
      <c r="C2614" t="s">
        <v>2103</v>
      </c>
      <c r="D2614" t="str">
        <f>HYPERLINK("https://rhld.insurance.arkansas.gov/NPILookup?Npi=1427217744","1427217744")</f>
        <v>1427217744</v>
      </c>
      <c r="E2614" t="s">
        <v>2647</v>
      </c>
      <c r="F2614" t="s">
        <v>12</v>
      </c>
      <c r="G2614" s="20">
        <v>1</v>
      </c>
      <c r="H2614" t="s">
        <v>4349</v>
      </c>
      <c r="I2614" t="s">
        <v>4357</v>
      </c>
      <c r="J2614" s="9"/>
      <c r="K2614" s="9"/>
      <c r="L2614" s="9"/>
    </row>
    <row r="2615" spans="2:12" ht="15" x14ac:dyDescent="0.25">
      <c r="B2615" t="s">
        <v>2102</v>
      </c>
      <c r="C2615" t="s">
        <v>2103</v>
      </c>
      <c r="D2615" t="str">
        <f>HYPERLINK("https://rhld.insurance.arkansas.gov/NPILookup?Npi=1427237627","1427237627")</f>
        <v>1427237627</v>
      </c>
      <c r="E2615" t="s">
        <v>2648</v>
      </c>
      <c r="F2615" t="s">
        <v>12</v>
      </c>
      <c r="G2615" s="20">
        <v>1</v>
      </c>
      <c r="H2615" t="s">
        <v>4349</v>
      </c>
      <c r="I2615" t="s">
        <v>4357</v>
      </c>
      <c r="J2615" s="9"/>
      <c r="K2615" s="9"/>
      <c r="L2615" s="9"/>
    </row>
    <row r="2616" spans="2:12" ht="15" x14ac:dyDescent="0.25">
      <c r="B2616" t="s">
        <v>2102</v>
      </c>
      <c r="C2616" t="s">
        <v>2103</v>
      </c>
      <c r="D2616" t="str">
        <f>HYPERLINK("https://rhld.insurance.arkansas.gov/NPILookup?Npi=1427374263","1427374263")</f>
        <v>1427374263</v>
      </c>
      <c r="E2616" t="s">
        <v>2649</v>
      </c>
      <c r="F2616" t="s">
        <v>12</v>
      </c>
      <c r="G2616" s="20">
        <v>1</v>
      </c>
      <c r="H2616" t="s">
        <v>4349</v>
      </c>
      <c r="I2616" t="s">
        <v>32</v>
      </c>
      <c r="J2616" s="9"/>
      <c r="K2616" s="9"/>
      <c r="L2616" s="9"/>
    </row>
    <row r="2617" spans="2:12" ht="15" x14ac:dyDescent="0.25">
      <c r="B2617" t="s">
        <v>2102</v>
      </c>
      <c r="C2617" t="s">
        <v>2103</v>
      </c>
      <c r="D2617" t="str">
        <f>HYPERLINK("https://rhld.insurance.arkansas.gov/NPILookup?Npi=1427391721","1427391721")</f>
        <v>1427391721</v>
      </c>
      <c r="E2617" t="s">
        <v>2650</v>
      </c>
      <c r="F2617" t="s">
        <v>12</v>
      </c>
      <c r="G2617" s="20">
        <v>1</v>
      </c>
      <c r="H2617" t="s">
        <v>4349</v>
      </c>
      <c r="I2617" t="s">
        <v>32</v>
      </c>
      <c r="J2617" s="9"/>
      <c r="K2617" s="9"/>
      <c r="L2617" s="9"/>
    </row>
    <row r="2618" spans="2:12" ht="15" x14ac:dyDescent="0.25">
      <c r="B2618" t="s">
        <v>2102</v>
      </c>
      <c r="C2618" t="s">
        <v>2103</v>
      </c>
      <c r="D2618" t="str">
        <f>HYPERLINK("https://rhld.insurance.arkansas.gov/NPILookup?Npi=1427403955","1427403955")</f>
        <v>1427403955</v>
      </c>
      <c r="E2618" t="s">
        <v>2651</v>
      </c>
      <c r="F2618" t="s">
        <v>12</v>
      </c>
      <c r="G2618" s="20">
        <v>1</v>
      </c>
      <c r="H2618" t="s">
        <v>4338</v>
      </c>
      <c r="I2618" t="s">
        <v>32</v>
      </c>
      <c r="J2618" s="9"/>
      <c r="K2618" s="9"/>
      <c r="L2618" s="9"/>
    </row>
    <row r="2619" spans="2:12" ht="15" x14ac:dyDescent="0.25">
      <c r="B2619" t="s">
        <v>2102</v>
      </c>
      <c r="C2619" t="s">
        <v>2103</v>
      </c>
      <c r="D2619" t="str">
        <f>HYPERLINK("https://rhld.insurance.arkansas.gov/NPILookup?Npi=1427411644","1427411644")</f>
        <v>1427411644</v>
      </c>
      <c r="E2619" t="s">
        <v>2652</v>
      </c>
      <c r="F2619" t="s">
        <v>12</v>
      </c>
      <c r="G2619" s="20">
        <v>1</v>
      </c>
      <c r="H2619" t="s">
        <v>4349</v>
      </c>
      <c r="I2619" t="s">
        <v>4357</v>
      </c>
      <c r="J2619" s="9"/>
      <c r="K2619" s="9"/>
      <c r="L2619" s="9"/>
    </row>
    <row r="2620" spans="2:12" ht="15" x14ac:dyDescent="0.25">
      <c r="B2620" t="s">
        <v>2102</v>
      </c>
      <c r="C2620" t="s">
        <v>2103</v>
      </c>
      <c r="D2620" t="str">
        <f>HYPERLINK("https://rhld.insurance.arkansas.gov/NPILookup?Npi=1427430214","1427430214")</f>
        <v>1427430214</v>
      </c>
      <c r="E2620" t="s">
        <v>4215</v>
      </c>
      <c r="F2620" t="s">
        <v>12</v>
      </c>
      <c r="G2620" s="20">
        <v>1</v>
      </c>
      <c r="H2620" t="s">
        <v>4349</v>
      </c>
      <c r="I2620" t="s">
        <v>32</v>
      </c>
      <c r="J2620" s="9"/>
      <c r="K2620" s="9"/>
      <c r="L2620" s="9"/>
    </row>
    <row r="2621" spans="2:12" ht="15" x14ac:dyDescent="0.25">
      <c r="B2621" t="s">
        <v>2102</v>
      </c>
      <c r="C2621" t="s">
        <v>2103</v>
      </c>
      <c r="D2621" t="str">
        <f>HYPERLINK("https://rhld.insurance.arkansas.gov/NPILookup?Npi=1427436880","1427436880")</f>
        <v>1427436880</v>
      </c>
      <c r="E2621" t="s">
        <v>2653</v>
      </c>
      <c r="F2621" t="s">
        <v>12</v>
      </c>
      <c r="G2621" s="20">
        <v>1</v>
      </c>
      <c r="H2621" t="s">
        <v>4349</v>
      </c>
      <c r="I2621" t="s">
        <v>4357</v>
      </c>
      <c r="J2621" s="9"/>
      <c r="K2621" s="9"/>
      <c r="L2621" s="9"/>
    </row>
    <row r="2622" spans="2:12" ht="15" x14ac:dyDescent="0.25">
      <c r="B2622" t="s">
        <v>2102</v>
      </c>
      <c r="C2622" t="s">
        <v>2103</v>
      </c>
      <c r="D2622" t="str">
        <f>HYPERLINK("https://rhld.insurance.arkansas.gov/NPILookup?Npi=1427477223","1427477223")</f>
        <v>1427477223</v>
      </c>
      <c r="E2622" t="s">
        <v>2654</v>
      </c>
      <c r="F2622" t="s">
        <v>12</v>
      </c>
      <c r="G2622" s="20">
        <v>1</v>
      </c>
      <c r="H2622" t="s">
        <v>4349</v>
      </c>
      <c r="I2622" t="s">
        <v>4357</v>
      </c>
      <c r="J2622" s="9"/>
      <c r="K2622" s="9"/>
      <c r="L2622" s="9"/>
    </row>
    <row r="2623" spans="2:12" ht="15" x14ac:dyDescent="0.25">
      <c r="B2623" t="s">
        <v>2102</v>
      </c>
      <c r="C2623" t="s">
        <v>2103</v>
      </c>
      <c r="D2623" t="str">
        <f>HYPERLINK("https://rhld.insurance.arkansas.gov/NPILookup?Npi=1427493618","1427493618")</f>
        <v>1427493618</v>
      </c>
      <c r="E2623" t="s">
        <v>2656</v>
      </c>
      <c r="F2623" t="s">
        <v>12</v>
      </c>
      <c r="G2623" s="20">
        <v>1</v>
      </c>
      <c r="H2623" t="s">
        <v>4338</v>
      </c>
      <c r="I2623" t="s">
        <v>32</v>
      </c>
      <c r="J2623" s="9"/>
      <c r="K2623" s="9"/>
      <c r="L2623" s="9"/>
    </row>
    <row r="2624" spans="2:12" ht="15" x14ac:dyDescent="0.25">
      <c r="B2624" t="s">
        <v>2102</v>
      </c>
      <c r="C2624" t="s">
        <v>2103</v>
      </c>
      <c r="D2624" t="str">
        <f>HYPERLINK("https://rhld.insurance.arkansas.gov/NPILookup?Npi=1427578608","1427578608")</f>
        <v>1427578608</v>
      </c>
      <c r="E2624" t="s">
        <v>2657</v>
      </c>
      <c r="F2624" t="s">
        <v>12</v>
      </c>
      <c r="G2624" s="20">
        <v>1</v>
      </c>
      <c r="H2624" t="s">
        <v>4349</v>
      </c>
      <c r="I2624" t="s">
        <v>32</v>
      </c>
      <c r="J2624" s="9"/>
      <c r="K2624" s="9"/>
      <c r="L2624" s="9"/>
    </row>
    <row r="2625" spans="2:12" ht="15" x14ac:dyDescent="0.25">
      <c r="B2625" t="s">
        <v>2102</v>
      </c>
      <c r="C2625" t="s">
        <v>2103</v>
      </c>
      <c r="D2625" t="str">
        <f>HYPERLINK("https://rhld.insurance.arkansas.gov/NPILookup?Npi=1427674472","1427674472")</f>
        <v>1427674472</v>
      </c>
      <c r="E2625" t="s">
        <v>2070</v>
      </c>
      <c r="F2625" t="s">
        <v>13</v>
      </c>
      <c r="G2625" s="20">
        <v>1</v>
      </c>
      <c r="H2625" t="s">
        <v>4357</v>
      </c>
      <c r="I2625" t="s">
        <v>4357</v>
      </c>
      <c r="J2625" s="9"/>
      <c r="K2625" s="9"/>
      <c r="L2625" s="9"/>
    </row>
    <row r="2626" spans="2:12" ht="15" x14ac:dyDescent="0.25">
      <c r="B2626" t="s">
        <v>2102</v>
      </c>
      <c r="C2626" t="s">
        <v>2103</v>
      </c>
      <c r="D2626" t="str">
        <f>HYPERLINK("https://rhld.insurance.arkansas.gov/NPILookup?Npi=1427691641","1427691641")</f>
        <v>1427691641</v>
      </c>
      <c r="E2626" t="s">
        <v>1315</v>
      </c>
      <c r="F2626" t="s">
        <v>12</v>
      </c>
      <c r="G2626" s="20">
        <v>1</v>
      </c>
      <c r="H2626" t="s">
        <v>4338</v>
      </c>
      <c r="I2626" t="s">
        <v>32</v>
      </c>
      <c r="J2626" s="9"/>
      <c r="K2626" s="9"/>
      <c r="L2626" s="9"/>
    </row>
    <row r="2627" spans="2:12" ht="15" x14ac:dyDescent="0.25">
      <c r="B2627" t="s">
        <v>2102</v>
      </c>
      <c r="C2627" t="s">
        <v>2103</v>
      </c>
      <c r="D2627" t="str">
        <f>HYPERLINK("https://rhld.insurance.arkansas.gov/NPILookup?Npi=1427737121","1427737121")</f>
        <v>1427737121</v>
      </c>
      <c r="E2627" t="s">
        <v>2658</v>
      </c>
      <c r="F2627" t="s">
        <v>13</v>
      </c>
      <c r="G2627" s="20">
        <v>1</v>
      </c>
      <c r="H2627" t="s">
        <v>4357</v>
      </c>
      <c r="I2627" t="s">
        <v>4357</v>
      </c>
      <c r="J2627" s="9"/>
      <c r="K2627" s="9"/>
      <c r="L2627" s="9"/>
    </row>
    <row r="2628" spans="2:12" ht="15" x14ac:dyDescent="0.25">
      <c r="B2628" t="s">
        <v>2102</v>
      </c>
      <c r="C2628" t="s">
        <v>2103</v>
      </c>
      <c r="D2628" t="str">
        <f>HYPERLINK("https://rhld.insurance.arkansas.gov/NPILookup?Npi=1427792548","1427792548")</f>
        <v>1427792548</v>
      </c>
      <c r="E2628" t="s">
        <v>2659</v>
      </c>
      <c r="F2628" t="s">
        <v>12</v>
      </c>
      <c r="G2628" s="20">
        <v>1</v>
      </c>
      <c r="H2628" t="s">
        <v>4338</v>
      </c>
      <c r="I2628" t="s">
        <v>32</v>
      </c>
      <c r="J2628" s="9"/>
      <c r="K2628" s="9"/>
      <c r="L2628" s="9"/>
    </row>
    <row r="2629" spans="2:12" ht="15" x14ac:dyDescent="0.25">
      <c r="B2629" t="s">
        <v>2102</v>
      </c>
      <c r="C2629" t="s">
        <v>2103</v>
      </c>
      <c r="D2629" t="str">
        <f>HYPERLINK("https://rhld.insurance.arkansas.gov/NPILookup?Npi=1427804483","1427804483")</f>
        <v>1427804483</v>
      </c>
      <c r="E2629" t="s">
        <v>2660</v>
      </c>
      <c r="F2629" t="s">
        <v>13</v>
      </c>
      <c r="G2629" s="20">
        <v>1</v>
      </c>
      <c r="H2629" t="s">
        <v>4357</v>
      </c>
      <c r="I2629" t="s">
        <v>4357</v>
      </c>
      <c r="J2629" s="9"/>
      <c r="K2629" s="9"/>
      <c r="L2629" s="9"/>
    </row>
    <row r="2630" spans="2:12" ht="15" x14ac:dyDescent="0.25">
      <c r="B2630" t="s">
        <v>2102</v>
      </c>
      <c r="C2630" t="s">
        <v>2103</v>
      </c>
      <c r="D2630" t="str">
        <f>HYPERLINK("https://rhld.insurance.arkansas.gov/NPILookup?Npi=1427805944","1427805944")</f>
        <v>1427805944</v>
      </c>
      <c r="E2630" t="s">
        <v>2071</v>
      </c>
      <c r="F2630" t="s">
        <v>13</v>
      </c>
      <c r="G2630" s="20">
        <v>1</v>
      </c>
      <c r="H2630" t="s">
        <v>4357</v>
      </c>
      <c r="I2630" t="s">
        <v>4357</v>
      </c>
      <c r="J2630" s="9"/>
      <c r="K2630" s="9"/>
      <c r="L2630" s="9"/>
    </row>
    <row r="2631" spans="2:12" ht="15" x14ac:dyDescent="0.25">
      <c r="B2631" t="s">
        <v>2102</v>
      </c>
      <c r="C2631" t="s">
        <v>2103</v>
      </c>
      <c r="D2631" t="str">
        <f>HYPERLINK("https://rhld.insurance.arkansas.gov/NPILookup?Npi=1437104007","1437104007")</f>
        <v>1437104007</v>
      </c>
      <c r="E2631" t="s">
        <v>4547</v>
      </c>
      <c r="F2631" t="s">
        <v>12</v>
      </c>
      <c r="G2631" s="20">
        <v>1</v>
      </c>
      <c r="H2631" t="s">
        <v>4349</v>
      </c>
      <c r="I2631" t="s">
        <v>32</v>
      </c>
      <c r="J2631" s="9"/>
      <c r="K2631" s="9"/>
      <c r="L2631" s="9"/>
    </row>
    <row r="2632" spans="2:12" ht="15" x14ac:dyDescent="0.25">
      <c r="B2632" t="s">
        <v>2102</v>
      </c>
      <c r="C2632" t="s">
        <v>2103</v>
      </c>
      <c r="D2632" t="str">
        <f>HYPERLINK("https://rhld.insurance.arkansas.gov/NPILookup?Npi=1437121373","1437121373")</f>
        <v>1437121373</v>
      </c>
      <c r="E2632" t="s">
        <v>2661</v>
      </c>
      <c r="F2632" t="s">
        <v>12</v>
      </c>
      <c r="G2632" s="20">
        <v>1</v>
      </c>
      <c r="H2632" t="s">
        <v>4338</v>
      </c>
      <c r="I2632" t="s">
        <v>32</v>
      </c>
      <c r="J2632" s="9"/>
      <c r="K2632" s="9"/>
      <c r="L2632" s="9"/>
    </row>
    <row r="2633" spans="2:12" ht="15" x14ac:dyDescent="0.25">
      <c r="B2633" t="s">
        <v>2102</v>
      </c>
      <c r="C2633" t="s">
        <v>2103</v>
      </c>
      <c r="D2633" t="str">
        <f>HYPERLINK("https://rhld.insurance.arkansas.gov/NPILookup?Npi=1437189255","1437189255")</f>
        <v>1437189255</v>
      </c>
      <c r="E2633" t="s">
        <v>612</v>
      </c>
      <c r="F2633" t="s">
        <v>12</v>
      </c>
      <c r="G2633" s="20">
        <v>1</v>
      </c>
      <c r="H2633" t="s">
        <v>4349</v>
      </c>
      <c r="I2633" t="s">
        <v>32</v>
      </c>
      <c r="J2633" s="9"/>
      <c r="K2633" s="9"/>
      <c r="L2633" s="9"/>
    </row>
    <row r="2634" spans="2:12" ht="15" x14ac:dyDescent="0.25">
      <c r="B2634" t="s">
        <v>2102</v>
      </c>
      <c r="C2634" t="s">
        <v>2103</v>
      </c>
      <c r="D2634" t="str">
        <f>HYPERLINK("https://rhld.insurance.arkansas.gov/NPILookup?Npi=1437217593","1437217593")</f>
        <v>1437217593</v>
      </c>
      <c r="E2634" t="s">
        <v>2662</v>
      </c>
      <c r="F2634" t="s">
        <v>12</v>
      </c>
      <c r="G2634" s="20">
        <v>1</v>
      </c>
      <c r="H2634" t="s">
        <v>4338</v>
      </c>
      <c r="I2634" t="s">
        <v>32</v>
      </c>
      <c r="J2634" s="9"/>
      <c r="K2634" s="9"/>
      <c r="L2634" s="9"/>
    </row>
    <row r="2635" spans="2:12" ht="15" x14ac:dyDescent="0.25">
      <c r="B2635" t="s">
        <v>2102</v>
      </c>
      <c r="C2635" t="s">
        <v>2103</v>
      </c>
      <c r="D2635" t="str">
        <f>HYPERLINK("https://rhld.insurance.arkansas.gov/NPILookup?Npi=1437260106","1437260106")</f>
        <v>1437260106</v>
      </c>
      <c r="E2635" t="s">
        <v>782</v>
      </c>
      <c r="F2635" t="s">
        <v>12</v>
      </c>
      <c r="G2635" s="20">
        <v>1</v>
      </c>
      <c r="H2635" t="s">
        <v>4338</v>
      </c>
      <c r="I2635" t="s">
        <v>32</v>
      </c>
      <c r="J2635" s="9"/>
      <c r="K2635" s="9"/>
      <c r="L2635" s="9"/>
    </row>
    <row r="2636" spans="2:12" ht="15" x14ac:dyDescent="0.25">
      <c r="B2636" t="s">
        <v>2102</v>
      </c>
      <c r="C2636" t="s">
        <v>2103</v>
      </c>
      <c r="D2636" t="str">
        <f>HYPERLINK("https://rhld.insurance.arkansas.gov/NPILookup?Npi=1437262573","1437262573")</f>
        <v>1437262573</v>
      </c>
      <c r="E2636" t="s">
        <v>2663</v>
      </c>
      <c r="F2636" t="s">
        <v>12</v>
      </c>
      <c r="G2636" s="20">
        <v>1</v>
      </c>
      <c r="H2636" t="s">
        <v>4338</v>
      </c>
      <c r="I2636" t="s">
        <v>32</v>
      </c>
      <c r="J2636" s="9"/>
      <c r="K2636" s="9"/>
      <c r="L2636" s="9"/>
    </row>
    <row r="2637" spans="2:12" ht="15" x14ac:dyDescent="0.25">
      <c r="B2637" t="s">
        <v>2102</v>
      </c>
      <c r="C2637" t="s">
        <v>2103</v>
      </c>
      <c r="D2637" t="str">
        <f>HYPERLINK("https://rhld.insurance.arkansas.gov/NPILookup?Npi=1437312725","1437312725")</f>
        <v>1437312725</v>
      </c>
      <c r="E2637" t="s">
        <v>1175</v>
      </c>
      <c r="F2637" t="s">
        <v>12</v>
      </c>
      <c r="G2637" s="20">
        <v>1</v>
      </c>
      <c r="H2637" t="s">
        <v>4349</v>
      </c>
      <c r="I2637" t="s">
        <v>4357</v>
      </c>
      <c r="J2637" s="9"/>
      <c r="K2637" s="9"/>
      <c r="L2637" s="9"/>
    </row>
    <row r="2638" spans="2:12" ht="15" x14ac:dyDescent="0.25">
      <c r="B2638" t="s">
        <v>2102</v>
      </c>
      <c r="C2638" t="s">
        <v>2103</v>
      </c>
      <c r="D2638" t="str">
        <f>HYPERLINK("https://rhld.insurance.arkansas.gov/NPILookup?Npi=1437376548","1437376548")</f>
        <v>1437376548</v>
      </c>
      <c r="E2638" t="s">
        <v>617</v>
      </c>
      <c r="F2638" t="s">
        <v>12</v>
      </c>
      <c r="G2638" s="20">
        <v>1</v>
      </c>
      <c r="H2638" t="s">
        <v>4349</v>
      </c>
      <c r="I2638" t="s">
        <v>32</v>
      </c>
      <c r="J2638" s="9"/>
      <c r="K2638" s="9"/>
      <c r="L2638" s="9"/>
    </row>
    <row r="2639" spans="2:12" ht="15" x14ac:dyDescent="0.25">
      <c r="B2639" t="s">
        <v>2102</v>
      </c>
      <c r="C2639" t="s">
        <v>2103</v>
      </c>
      <c r="D2639" t="str">
        <f>HYPERLINK("https://rhld.insurance.arkansas.gov/NPILookup?Npi=1437383312","1437383312")</f>
        <v>1437383312</v>
      </c>
      <c r="E2639" t="s">
        <v>2667</v>
      </c>
      <c r="F2639" t="s">
        <v>13</v>
      </c>
      <c r="G2639" s="20">
        <v>1</v>
      </c>
      <c r="H2639" t="s">
        <v>4357</v>
      </c>
      <c r="I2639" t="s">
        <v>4357</v>
      </c>
      <c r="J2639" s="9"/>
      <c r="K2639" s="9"/>
      <c r="L2639" s="9"/>
    </row>
    <row r="2640" spans="2:12" ht="15" x14ac:dyDescent="0.25">
      <c r="B2640" t="s">
        <v>2102</v>
      </c>
      <c r="C2640" t="s">
        <v>2103</v>
      </c>
      <c r="D2640" t="str">
        <f>HYPERLINK("https://rhld.insurance.arkansas.gov/NPILookup?Npi=1437404761","1437404761")</f>
        <v>1437404761</v>
      </c>
      <c r="E2640" t="s">
        <v>2668</v>
      </c>
      <c r="F2640" t="s">
        <v>12</v>
      </c>
      <c r="G2640" s="20">
        <v>1</v>
      </c>
      <c r="H2640" t="s">
        <v>4349</v>
      </c>
      <c r="I2640" t="s">
        <v>4357</v>
      </c>
      <c r="J2640" s="9"/>
      <c r="K2640" s="9"/>
      <c r="L2640" s="9"/>
    </row>
    <row r="2641" spans="2:12" ht="15" x14ac:dyDescent="0.25">
      <c r="B2641" t="s">
        <v>2102</v>
      </c>
      <c r="C2641" t="s">
        <v>2103</v>
      </c>
      <c r="D2641" t="str">
        <f>HYPERLINK("https://rhld.insurance.arkansas.gov/NPILookup?Npi=1437448594","1437448594")</f>
        <v>1437448594</v>
      </c>
      <c r="E2641" t="s">
        <v>2669</v>
      </c>
      <c r="F2641" t="s">
        <v>12</v>
      </c>
      <c r="G2641" s="20">
        <v>1</v>
      </c>
      <c r="H2641" t="s">
        <v>4338</v>
      </c>
      <c r="I2641" t="s">
        <v>32</v>
      </c>
      <c r="J2641" s="9"/>
      <c r="K2641" s="9"/>
      <c r="L2641" s="9"/>
    </row>
    <row r="2642" spans="2:12" ht="15" x14ac:dyDescent="0.25">
      <c r="B2642" t="s">
        <v>2102</v>
      </c>
      <c r="C2642" t="s">
        <v>2103</v>
      </c>
      <c r="D2642" t="str">
        <f>HYPERLINK("https://rhld.insurance.arkansas.gov/NPILookup?Npi=1437545761","1437545761")</f>
        <v>1437545761</v>
      </c>
      <c r="E2642" t="s">
        <v>2670</v>
      </c>
      <c r="F2642" t="s">
        <v>12</v>
      </c>
      <c r="G2642" s="20">
        <v>1</v>
      </c>
      <c r="H2642" t="s">
        <v>4338</v>
      </c>
      <c r="I2642" t="s">
        <v>32</v>
      </c>
      <c r="J2642" s="9"/>
      <c r="K2642" s="9"/>
      <c r="L2642" s="9"/>
    </row>
    <row r="2643" spans="2:12" ht="15" x14ac:dyDescent="0.25">
      <c r="B2643" t="s">
        <v>2102</v>
      </c>
      <c r="C2643" t="s">
        <v>2103</v>
      </c>
      <c r="D2643" t="str">
        <f>HYPERLINK("https://rhld.insurance.arkansas.gov/NPILookup?Npi=1437625274","1437625274")</f>
        <v>1437625274</v>
      </c>
      <c r="E2643" t="s">
        <v>2671</v>
      </c>
      <c r="F2643" t="s">
        <v>12</v>
      </c>
      <c r="G2643" s="20">
        <v>1</v>
      </c>
      <c r="H2643" t="s">
        <v>4338</v>
      </c>
      <c r="I2643" t="s">
        <v>32</v>
      </c>
      <c r="J2643" s="9"/>
      <c r="K2643" s="9"/>
      <c r="L2643" s="9"/>
    </row>
    <row r="2644" spans="2:12" ht="15" x14ac:dyDescent="0.25">
      <c r="B2644" t="s">
        <v>2102</v>
      </c>
      <c r="C2644" t="s">
        <v>2103</v>
      </c>
      <c r="D2644" t="str">
        <f>HYPERLINK("https://rhld.insurance.arkansas.gov/NPILookup?Npi=1437718483","1437718483")</f>
        <v>1437718483</v>
      </c>
      <c r="E2644" t="s">
        <v>2672</v>
      </c>
      <c r="F2644" t="s">
        <v>12</v>
      </c>
      <c r="G2644" s="20">
        <v>1</v>
      </c>
      <c r="H2644" t="s">
        <v>4338</v>
      </c>
      <c r="I2644" t="s">
        <v>4357</v>
      </c>
      <c r="J2644" s="9"/>
      <c r="K2644" s="9"/>
      <c r="L2644" s="9"/>
    </row>
    <row r="2645" spans="2:12" ht="15" x14ac:dyDescent="0.25">
      <c r="B2645" t="s">
        <v>2102</v>
      </c>
      <c r="C2645" t="s">
        <v>2103</v>
      </c>
      <c r="D2645" t="str">
        <f>HYPERLINK("https://rhld.insurance.arkansas.gov/NPILookup?Npi=1437740180","1437740180")</f>
        <v>1437740180</v>
      </c>
      <c r="E2645" t="s">
        <v>2673</v>
      </c>
      <c r="F2645" t="s">
        <v>12</v>
      </c>
      <c r="G2645" s="20">
        <v>1</v>
      </c>
      <c r="H2645" t="s">
        <v>4338</v>
      </c>
      <c r="I2645" t="s">
        <v>32</v>
      </c>
      <c r="J2645" s="9"/>
      <c r="K2645" s="9"/>
      <c r="L2645" s="9"/>
    </row>
    <row r="2646" spans="2:12" ht="15" x14ac:dyDescent="0.25">
      <c r="B2646" t="s">
        <v>2102</v>
      </c>
      <c r="C2646" t="s">
        <v>2103</v>
      </c>
      <c r="D2646" t="str">
        <f>HYPERLINK("https://rhld.insurance.arkansas.gov/NPILookup?Npi=1437803814","1437803814")</f>
        <v>1437803814</v>
      </c>
      <c r="E2646" t="s">
        <v>2674</v>
      </c>
      <c r="F2646" t="s">
        <v>12</v>
      </c>
      <c r="G2646" s="20">
        <v>1</v>
      </c>
      <c r="H2646" t="s">
        <v>4338</v>
      </c>
      <c r="I2646" t="s">
        <v>32</v>
      </c>
      <c r="J2646" s="9"/>
      <c r="K2646" s="9"/>
      <c r="L2646" s="9"/>
    </row>
    <row r="2647" spans="2:12" ht="15" x14ac:dyDescent="0.25">
      <c r="B2647" t="s">
        <v>2102</v>
      </c>
      <c r="C2647" t="s">
        <v>2103</v>
      </c>
      <c r="D2647" t="str">
        <f>HYPERLINK("https://rhld.insurance.arkansas.gov/NPILookup?Npi=1447012158","1447012158")</f>
        <v>1447012158</v>
      </c>
      <c r="E2647" t="s">
        <v>2675</v>
      </c>
      <c r="F2647" t="s">
        <v>13</v>
      </c>
      <c r="G2647" s="20">
        <v>1</v>
      </c>
      <c r="H2647" t="s">
        <v>4357</v>
      </c>
      <c r="I2647" t="s">
        <v>4357</v>
      </c>
      <c r="J2647" s="9"/>
      <c r="K2647" s="9"/>
      <c r="L2647" s="9"/>
    </row>
    <row r="2648" spans="2:12" ht="15" x14ac:dyDescent="0.25">
      <c r="B2648" t="s">
        <v>2102</v>
      </c>
      <c r="C2648" t="s">
        <v>2103</v>
      </c>
      <c r="D2648" t="str">
        <f>HYPERLINK("https://rhld.insurance.arkansas.gov/NPILookup?Npi=1447058037","1447058037")</f>
        <v>1447058037</v>
      </c>
      <c r="E2648" t="s">
        <v>2676</v>
      </c>
      <c r="F2648" t="s">
        <v>13</v>
      </c>
      <c r="G2648" s="20">
        <v>1</v>
      </c>
      <c r="H2648" t="s">
        <v>4357</v>
      </c>
      <c r="I2648" t="s">
        <v>4357</v>
      </c>
      <c r="J2648" s="9"/>
      <c r="K2648" s="9"/>
      <c r="L2648" s="9"/>
    </row>
    <row r="2649" spans="2:12" ht="15" x14ac:dyDescent="0.25">
      <c r="B2649" t="s">
        <v>2102</v>
      </c>
      <c r="C2649" t="s">
        <v>2103</v>
      </c>
      <c r="D2649" t="str">
        <f>HYPERLINK("https://rhld.insurance.arkansas.gov/NPILookup?Npi=1447074968","1447074968")</f>
        <v>1447074968</v>
      </c>
      <c r="E2649" t="s">
        <v>2072</v>
      </c>
      <c r="F2649" t="s">
        <v>13</v>
      </c>
      <c r="G2649" s="20">
        <v>1</v>
      </c>
      <c r="H2649" t="s">
        <v>4357</v>
      </c>
      <c r="I2649" t="s">
        <v>4357</v>
      </c>
      <c r="J2649" s="9"/>
      <c r="K2649" s="9"/>
      <c r="L2649" s="9"/>
    </row>
    <row r="2650" spans="2:12" ht="15" x14ac:dyDescent="0.25">
      <c r="B2650" t="s">
        <v>2102</v>
      </c>
      <c r="C2650" t="s">
        <v>2103</v>
      </c>
      <c r="D2650" t="str">
        <f>HYPERLINK("https://rhld.insurance.arkansas.gov/NPILookup?Npi=1447075452","1447075452")</f>
        <v>1447075452</v>
      </c>
      <c r="E2650" t="s">
        <v>2677</v>
      </c>
      <c r="F2650" t="s">
        <v>13</v>
      </c>
      <c r="G2650" s="20">
        <v>1</v>
      </c>
      <c r="H2650" t="s">
        <v>4357</v>
      </c>
      <c r="I2650" t="s">
        <v>4357</v>
      </c>
      <c r="J2650" s="9"/>
      <c r="K2650" s="9"/>
      <c r="L2650" s="9"/>
    </row>
    <row r="2651" spans="2:12" ht="15" x14ac:dyDescent="0.25">
      <c r="B2651" t="s">
        <v>2102</v>
      </c>
      <c r="C2651" t="s">
        <v>2103</v>
      </c>
      <c r="D2651" t="str">
        <f>HYPERLINK("https://rhld.insurance.arkansas.gov/NPILookup?Npi=1447203120","1447203120")</f>
        <v>1447203120</v>
      </c>
      <c r="E2651" t="s">
        <v>4548</v>
      </c>
      <c r="F2651" t="s">
        <v>12</v>
      </c>
      <c r="G2651" s="20">
        <v>1</v>
      </c>
      <c r="H2651" t="s">
        <v>4349</v>
      </c>
      <c r="I2651" t="s">
        <v>32</v>
      </c>
      <c r="J2651" s="9"/>
      <c r="K2651" s="9"/>
      <c r="L2651" s="9"/>
    </row>
    <row r="2652" spans="2:12" ht="15" x14ac:dyDescent="0.25">
      <c r="B2652" t="s">
        <v>2102</v>
      </c>
      <c r="C2652" t="s">
        <v>2103</v>
      </c>
      <c r="D2652" t="str">
        <f>HYPERLINK("https://rhld.insurance.arkansas.gov/NPILookup?Npi=1447203757","1447203757")</f>
        <v>1447203757</v>
      </c>
      <c r="E2652" t="s">
        <v>2679</v>
      </c>
      <c r="F2652" t="s">
        <v>12</v>
      </c>
      <c r="G2652" s="20">
        <v>1</v>
      </c>
      <c r="H2652" t="s">
        <v>4338</v>
      </c>
      <c r="I2652" t="s">
        <v>32</v>
      </c>
      <c r="J2652" s="9"/>
      <c r="K2652" s="9"/>
      <c r="L2652" s="9"/>
    </row>
    <row r="2653" spans="2:12" ht="15" x14ac:dyDescent="0.25">
      <c r="B2653" t="s">
        <v>2102</v>
      </c>
      <c r="C2653" t="s">
        <v>2103</v>
      </c>
      <c r="D2653" t="str">
        <f>HYPERLINK("https://rhld.insurance.arkansas.gov/NPILookup?Npi=1447269659","1447269659")</f>
        <v>1447269659</v>
      </c>
      <c r="E2653" t="s">
        <v>4549</v>
      </c>
      <c r="F2653" t="s">
        <v>12</v>
      </c>
      <c r="G2653" s="20">
        <v>1</v>
      </c>
      <c r="H2653" t="s">
        <v>4349</v>
      </c>
      <c r="I2653" t="s">
        <v>4357</v>
      </c>
      <c r="J2653" s="9"/>
      <c r="K2653" s="9"/>
      <c r="L2653" s="9"/>
    </row>
    <row r="2654" spans="2:12" ht="15" x14ac:dyDescent="0.25">
      <c r="B2654" t="s">
        <v>2102</v>
      </c>
      <c r="C2654" t="s">
        <v>2103</v>
      </c>
      <c r="D2654" t="str">
        <f>HYPERLINK("https://rhld.insurance.arkansas.gov/NPILookup?Npi=1447283551","1447283551")</f>
        <v>1447283551</v>
      </c>
      <c r="E2654" t="s">
        <v>2681</v>
      </c>
      <c r="F2654" t="s">
        <v>12</v>
      </c>
      <c r="G2654" s="20">
        <v>1</v>
      </c>
      <c r="H2654" t="s">
        <v>4349</v>
      </c>
      <c r="I2654" t="s">
        <v>32</v>
      </c>
      <c r="J2654" s="9"/>
      <c r="K2654" s="9"/>
      <c r="L2654" s="9"/>
    </row>
    <row r="2655" spans="2:12" ht="15" x14ac:dyDescent="0.25">
      <c r="B2655" t="s">
        <v>2102</v>
      </c>
      <c r="C2655" t="s">
        <v>2103</v>
      </c>
      <c r="D2655" t="str">
        <f>HYPERLINK("https://rhld.insurance.arkansas.gov/NPILookup?Npi=1447353339","1447353339")</f>
        <v>1447353339</v>
      </c>
      <c r="E2655" t="s">
        <v>4550</v>
      </c>
      <c r="F2655" t="s">
        <v>12</v>
      </c>
      <c r="G2655" s="20">
        <v>1</v>
      </c>
      <c r="H2655" t="s">
        <v>4349</v>
      </c>
      <c r="I2655" t="s">
        <v>32</v>
      </c>
      <c r="J2655" s="9"/>
      <c r="K2655" s="9"/>
      <c r="L2655" s="9"/>
    </row>
    <row r="2656" spans="2:12" ht="15" x14ac:dyDescent="0.25">
      <c r="B2656" t="s">
        <v>2102</v>
      </c>
      <c r="C2656" t="s">
        <v>2103</v>
      </c>
      <c r="D2656" t="str">
        <f>HYPERLINK("https://rhld.insurance.arkansas.gov/NPILookup?Npi=1447440045","1447440045")</f>
        <v>1447440045</v>
      </c>
      <c r="E2656" t="s">
        <v>4551</v>
      </c>
      <c r="F2656" t="s">
        <v>12</v>
      </c>
      <c r="G2656" s="20">
        <v>1</v>
      </c>
      <c r="H2656" t="s">
        <v>4349</v>
      </c>
      <c r="I2656" t="s">
        <v>32</v>
      </c>
      <c r="J2656" s="9"/>
      <c r="K2656" s="9"/>
      <c r="L2656" s="9"/>
    </row>
    <row r="2657" spans="2:12" ht="15" x14ac:dyDescent="0.25">
      <c r="B2657" t="s">
        <v>2102</v>
      </c>
      <c r="C2657" t="s">
        <v>2103</v>
      </c>
      <c r="D2657" t="str">
        <f>HYPERLINK("https://rhld.insurance.arkansas.gov/NPILookup?Npi=1447517974","1447517974")</f>
        <v>1447517974</v>
      </c>
      <c r="E2657" t="s">
        <v>1904</v>
      </c>
      <c r="F2657" t="s">
        <v>12</v>
      </c>
      <c r="G2657" s="20">
        <v>1</v>
      </c>
      <c r="H2657" t="s">
        <v>4349</v>
      </c>
      <c r="I2657" t="s">
        <v>4357</v>
      </c>
      <c r="J2657" s="9"/>
      <c r="K2657" s="9"/>
      <c r="L2657" s="9"/>
    </row>
    <row r="2658" spans="2:12" ht="15" x14ac:dyDescent="0.25">
      <c r="B2658" t="s">
        <v>2102</v>
      </c>
      <c r="C2658" t="s">
        <v>2103</v>
      </c>
      <c r="D2658" t="str">
        <f>HYPERLINK("https://rhld.insurance.arkansas.gov/NPILookup?Npi=1447583406","1447583406")</f>
        <v>1447583406</v>
      </c>
      <c r="E2658" t="s">
        <v>4552</v>
      </c>
      <c r="F2658" t="s">
        <v>12</v>
      </c>
      <c r="G2658" s="20">
        <v>1</v>
      </c>
      <c r="H2658" t="s">
        <v>4349</v>
      </c>
      <c r="I2658" t="s">
        <v>32</v>
      </c>
      <c r="J2658" s="9"/>
      <c r="K2658" s="9"/>
      <c r="L2658" s="9"/>
    </row>
    <row r="2659" spans="2:12" ht="15" x14ac:dyDescent="0.25">
      <c r="B2659" t="s">
        <v>2102</v>
      </c>
      <c r="C2659" t="s">
        <v>2103</v>
      </c>
      <c r="D2659" t="str">
        <f>HYPERLINK("https://rhld.insurance.arkansas.gov/NPILookup?Npi=1447598958","1447598958")</f>
        <v>1447598958</v>
      </c>
      <c r="E2659" t="s">
        <v>2683</v>
      </c>
      <c r="F2659" t="s">
        <v>12</v>
      </c>
      <c r="G2659" s="20">
        <v>1</v>
      </c>
      <c r="H2659" t="s">
        <v>4349</v>
      </c>
      <c r="I2659" t="s">
        <v>32</v>
      </c>
      <c r="J2659" s="9"/>
      <c r="K2659" s="9"/>
      <c r="L2659" s="9"/>
    </row>
    <row r="2660" spans="2:12" ht="15" x14ac:dyDescent="0.25">
      <c r="B2660" t="s">
        <v>2102</v>
      </c>
      <c r="C2660" t="s">
        <v>2103</v>
      </c>
      <c r="D2660" t="str">
        <f>HYPERLINK("https://rhld.insurance.arkansas.gov/NPILookup?Npi=1447605498","1447605498")</f>
        <v>1447605498</v>
      </c>
      <c r="E2660" t="s">
        <v>2684</v>
      </c>
      <c r="F2660" t="s">
        <v>12</v>
      </c>
      <c r="G2660" s="20">
        <v>1</v>
      </c>
      <c r="H2660" t="s">
        <v>4349</v>
      </c>
      <c r="I2660" t="s">
        <v>4357</v>
      </c>
      <c r="J2660" s="9"/>
      <c r="K2660" s="9"/>
      <c r="L2660" s="9"/>
    </row>
    <row r="2661" spans="2:12" ht="15" x14ac:dyDescent="0.25">
      <c r="B2661" t="s">
        <v>2102</v>
      </c>
      <c r="C2661" t="s">
        <v>2103</v>
      </c>
      <c r="D2661" t="str">
        <f>HYPERLINK("https://rhld.insurance.arkansas.gov/NPILookup?Npi=1447696406","1447696406")</f>
        <v>1447696406</v>
      </c>
      <c r="E2661" t="s">
        <v>4553</v>
      </c>
      <c r="F2661" t="s">
        <v>12</v>
      </c>
      <c r="G2661" s="20">
        <v>1</v>
      </c>
      <c r="H2661" t="s">
        <v>4349</v>
      </c>
      <c r="I2661" t="s">
        <v>32</v>
      </c>
      <c r="J2661" s="9"/>
      <c r="K2661" s="9"/>
      <c r="L2661" s="9"/>
    </row>
    <row r="2662" spans="2:12" ht="15" x14ac:dyDescent="0.25">
      <c r="B2662" t="s">
        <v>2102</v>
      </c>
      <c r="C2662" t="s">
        <v>2103</v>
      </c>
      <c r="D2662" t="str">
        <f>HYPERLINK("https://rhld.insurance.arkansas.gov/NPILookup?Npi=1447715024","1447715024")</f>
        <v>1447715024</v>
      </c>
      <c r="E2662" t="s">
        <v>2685</v>
      </c>
      <c r="F2662" t="s">
        <v>12</v>
      </c>
      <c r="G2662" s="20">
        <v>1</v>
      </c>
      <c r="H2662" t="s">
        <v>139</v>
      </c>
      <c r="I2662" t="s">
        <v>32</v>
      </c>
      <c r="J2662" s="9"/>
      <c r="K2662" s="9"/>
      <c r="L2662" s="9"/>
    </row>
    <row r="2663" spans="2:12" ht="15" x14ac:dyDescent="0.25">
      <c r="B2663" t="s">
        <v>2102</v>
      </c>
      <c r="C2663" t="s">
        <v>2103</v>
      </c>
      <c r="D2663" t="str">
        <f>HYPERLINK("https://rhld.insurance.arkansas.gov/NPILookup?Npi=1447877089","1447877089")</f>
        <v>1447877089</v>
      </c>
      <c r="E2663" t="s">
        <v>2688</v>
      </c>
      <c r="F2663" t="s">
        <v>12</v>
      </c>
      <c r="G2663" s="20">
        <v>1</v>
      </c>
      <c r="H2663" t="s">
        <v>4349</v>
      </c>
      <c r="I2663" t="s">
        <v>4357</v>
      </c>
      <c r="J2663" s="9"/>
      <c r="K2663" s="9"/>
      <c r="L2663" s="9"/>
    </row>
    <row r="2664" spans="2:12" ht="15" x14ac:dyDescent="0.25">
      <c r="B2664" t="s">
        <v>2102</v>
      </c>
      <c r="C2664" t="s">
        <v>2103</v>
      </c>
      <c r="D2664" t="str">
        <f>HYPERLINK("https://rhld.insurance.arkansas.gov/NPILookup?Npi=1447920186","1447920186")</f>
        <v>1447920186</v>
      </c>
      <c r="E2664" t="s">
        <v>2689</v>
      </c>
      <c r="F2664" t="s">
        <v>12</v>
      </c>
      <c r="G2664" s="20">
        <v>1</v>
      </c>
      <c r="H2664" t="s">
        <v>4349</v>
      </c>
      <c r="I2664" t="s">
        <v>32</v>
      </c>
      <c r="J2664" s="9"/>
      <c r="K2664" s="9"/>
      <c r="L2664" s="9"/>
    </row>
    <row r="2665" spans="2:12" ht="15" x14ac:dyDescent="0.25">
      <c r="B2665" t="s">
        <v>2102</v>
      </c>
      <c r="C2665" t="s">
        <v>2103</v>
      </c>
      <c r="D2665" t="str">
        <f>HYPERLINK("https://rhld.insurance.arkansas.gov/NPILookup?Npi=1447977202","1447977202")</f>
        <v>1447977202</v>
      </c>
      <c r="E2665" t="s">
        <v>2690</v>
      </c>
      <c r="F2665" t="s">
        <v>13</v>
      </c>
      <c r="G2665" s="20">
        <v>1</v>
      </c>
      <c r="H2665" t="s">
        <v>4357</v>
      </c>
      <c r="I2665" t="s">
        <v>4357</v>
      </c>
      <c r="J2665" s="9"/>
      <c r="K2665" s="9"/>
      <c r="L2665" s="9"/>
    </row>
    <row r="2666" spans="2:12" ht="15" x14ac:dyDescent="0.25">
      <c r="B2666" t="s">
        <v>2102</v>
      </c>
      <c r="C2666" t="s">
        <v>2103</v>
      </c>
      <c r="D2666" t="str">
        <f>HYPERLINK("https://rhld.insurance.arkansas.gov/NPILookup?Npi=1457076853","1457076853")</f>
        <v>1457076853</v>
      </c>
      <c r="E2666" t="s">
        <v>2691</v>
      </c>
      <c r="F2666" t="s">
        <v>12</v>
      </c>
      <c r="G2666" s="20">
        <v>1</v>
      </c>
      <c r="H2666" t="s">
        <v>4338</v>
      </c>
      <c r="I2666" t="s">
        <v>32</v>
      </c>
      <c r="J2666" s="9"/>
      <c r="K2666" s="9"/>
      <c r="L2666" s="9"/>
    </row>
    <row r="2667" spans="2:12" ht="15" x14ac:dyDescent="0.25">
      <c r="B2667" t="s">
        <v>2102</v>
      </c>
      <c r="C2667" t="s">
        <v>2103</v>
      </c>
      <c r="D2667" t="str">
        <f>HYPERLINK("https://rhld.insurance.arkansas.gov/NPILookup?Npi=1457091225","1457091225")</f>
        <v>1457091225</v>
      </c>
      <c r="E2667" t="s">
        <v>2692</v>
      </c>
      <c r="F2667" t="s">
        <v>13</v>
      </c>
      <c r="G2667" s="20">
        <v>1</v>
      </c>
      <c r="H2667" t="s">
        <v>4357</v>
      </c>
      <c r="I2667" t="s">
        <v>32</v>
      </c>
      <c r="J2667" s="9"/>
      <c r="K2667" s="9"/>
      <c r="L2667" s="9"/>
    </row>
    <row r="2668" spans="2:12" ht="15" x14ac:dyDescent="0.25">
      <c r="B2668" t="s">
        <v>2102</v>
      </c>
      <c r="C2668" t="s">
        <v>2103</v>
      </c>
      <c r="D2668" t="str">
        <f>HYPERLINK("https://rhld.insurance.arkansas.gov/NPILookup?Npi=1457186462","1457186462")</f>
        <v>1457186462</v>
      </c>
      <c r="E2668" t="s">
        <v>2073</v>
      </c>
      <c r="F2668" t="s">
        <v>13</v>
      </c>
      <c r="G2668" s="20">
        <v>1</v>
      </c>
      <c r="H2668" t="s">
        <v>4357</v>
      </c>
      <c r="I2668" t="s">
        <v>4357</v>
      </c>
      <c r="J2668" s="9"/>
      <c r="K2668" s="9"/>
      <c r="L2668" s="9"/>
    </row>
    <row r="2669" spans="2:12" ht="15" x14ac:dyDescent="0.25">
      <c r="B2669" t="s">
        <v>2102</v>
      </c>
      <c r="C2669" t="s">
        <v>2103</v>
      </c>
      <c r="D2669" t="str">
        <f>HYPERLINK("https://rhld.insurance.arkansas.gov/NPILookup?Npi=1457351538","1457351538")</f>
        <v>1457351538</v>
      </c>
      <c r="E2669" t="s">
        <v>2693</v>
      </c>
      <c r="F2669" t="s">
        <v>12</v>
      </c>
      <c r="G2669" s="20">
        <v>1</v>
      </c>
      <c r="H2669" t="s">
        <v>4349</v>
      </c>
      <c r="I2669" t="s">
        <v>4357</v>
      </c>
      <c r="J2669" s="9"/>
      <c r="K2669" s="9"/>
      <c r="L2669" s="9"/>
    </row>
    <row r="2670" spans="2:12" ht="15" x14ac:dyDescent="0.25">
      <c r="B2670" t="s">
        <v>2102</v>
      </c>
      <c r="C2670" t="s">
        <v>2103</v>
      </c>
      <c r="D2670" t="str">
        <f>HYPERLINK("https://rhld.insurance.arkansas.gov/NPILookup?Npi=1457352106","1457352106")</f>
        <v>1457352106</v>
      </c>
      <c r="E2670" t="s">
        <v>107</v>
      </c>
      <c r="F2670" t="s">
        <v>12</v>
      </c>
      <c r="G2670" s="20">
        <v>1</v>
      </c>
      <c r="H2670" t="s">
        <v>4349</v>
      </c>
      <c r="I2670" t="s">
        <v>4357</v>
      </c>
      <c r="J2670" s="9"/>
      <c r="K2670" s="9"/>
      <c r="L2670" s="9"/>
    </row>
    <row r="2671" spans="2:12" ht="15" x14ac:dyDescent="0.25">
      <c r="B2671" t="s">
        <v>2102</v>
      </c>
      <c r="C2671" t="s">
        <v>2103</v>
      </c>
      <c r="D2671" t="str">
        <f>HYPERLINK("https://rhld.insurance.arkansas.gov/NPILookup?Npi=1457383655","1457383655")</f>
        <v>1457383655</v>
      </c>
      <c r="E2671" t="s">
        <v>2695</v>
      </c>
      <c r="F2671" t="s">
        <v>12</v>
      </c>
      <c r="G2671" s="20">
        <v>1</v>
      </c>
      <c r="H2671" t="s">
        <v>4338</v>
      </c>
      <c r="I2671" t="s">
        <v>32</v>
      </c>
      <c r="J2671" s="9"/>
      <c r="K2671" s="9"/>
      <c r="L2671" s="9"/>
    </row>
    <row r="2672" spans="2:12" ht="15" x14ac:dyDescent="0.25">
      <c r="B2672" t="s">
        <v>2102</v>
      </c>
      <c r="C2672" t="s">
        <v>2103</v>
      </c>
      <c r="D2672" t="str">
        <f>HYPERLINK("https://rhld.insurance.arkansas.gov/NPILookup?Npi=1457384588","1457384588")</f>
        <v>1457384588</v>
      </c>
      <c r="E2672" t="s">
        <v>2696</v>
      </c>
      <c r="F2672" t="s">
        <v>12</v>
      </c>
      <c r="G2672" s="20">
        <v>1</v>
      </c>
      <c r="H2672" t="s">
        <v>4349</v>
      </c>
      <c r="I2672" t="s">
        <v>32</v>
      </c>
      <c r="J2672" s="9"/>
      <c r="K2672" s="9"/>
      <c r="L2672" s="9"/>
    </row>
    <row r="2673" spans="2:12" ht="15" x14ac:dyDescent="0.25">
      <c r="B2673" t="s">
        <v>2102</v>
      </c>
      <c r="C2673" t="s">
        <v>2103</v>
      </c>
      <c r="D2673" t="str">
        <f>HYPERLINK("https://rhld.insurance.arkansas.gov/NPILookup?Npi=1457517864","1457517864")</f>
        <v>1457517864</v>
      </c>
      <c r="E2673" t="s">
        <v>2699</v>
      </c>
      <c r="F2673" t="s">
        <v>12</v>
      </c>
      <c r="G2673" s="20">
        <v>1</v>
      </c>
      <c r="H2673" t="s">
        <v>4338</v>
      </c>
      <c r="I2673" t="s">
        <v>32</v>
      </c>
      <c r="J2673" s="9"/>
      <c r="K2673" s="9"/>
      <c r="L2673" s="9"/>
    </row>
    <row r="2674" spans="2:12" ht="15" x14ac:dyDescent="0.25">
      <c r="B2674" t="s">
        <v>2102</v>
      </c>
      <c r="C2674" t="s">
        <v>2103</v>
      </c>
      <c r="D2674" t="str">
        <f>HYPERLINK("https://rhld.insurance.arkansas.gov/NPILookup?Npi=1457538548","1457538548")</f>
        <v>1457538548</v>
      </c>
      <c r="E2674" t="s">
        <v>4554</v>
      </c>
      <c r="F2674" t="s">
        <v>12</v>
      </c>
      <c r="G2674" s="20">
        <v>1</v>
      </c>
      <c r="H2674" t="s">
        <v>4349</v>
      </c>
      <c r="I2674" t="s">
        <v>32</v>
      </c>
      <c r="J2674" s="9"/>
      <c r="K2674" s="9"/>
      <c r="L2674" s="9"/>
    </row>
    <row r="2675" spans="2:12" ht="15" x14ac:dyDescent="0.25">
      <c r="B2675" t="s">
        <v>2102</v>
      </c>
      <c r="C2675" t="s">
        <v>2103</v>
      </c>
      <c r="D2675" t="str">
        <f>HYPERLINK("https://rhld.insurance.arkansas.gov/NPILookup?Npi=1457585739","1457585739")</f>
        <v>1457585739</v>
      </c>
      <c r="E2675" t="s">
        <v>629</v>
      </c>
      <c r="F2675" t="s">
        <v>12</v>
      </c>
      <c r="G2675" s="20">
        <v>1</v>
      </c>
      <c r="H2675" t="s">
        <v>4349</v>
      </c>
      <c r="I2675" t="s">
        <v>32</v>
      </c>
      <c r="J2675" s="9"/>
      <c r="K2675" s="9"/>
      <c r="L2675" s="9"/>
    </row>
    <row r="2676" spans="2:12" ht="15" x14ac:dyDescent="0.25">
      <c r="B2676" t="s">
        <v>2102</v>
      </c>
      <c r="C2676" t="s">
        <v>2103</v>
      </c>
      <c r="D2676" t="str">
        <f>HYPERLINK("https://rhld.insurance.arkansas.gov/NPILookup?Npi=1457735102","1457735102")</f>
        <v>1457735102</v>
      </c>
      <c r="E2676" t="s">
        <v>2701</v>
      </c>
      <c r="F2676" t="s">
        <v>12</v>
      </c>
      <c r="G2676" s="20">
        <v>1</v>
      </c>
      <c r="H2676" t="s">
        <v>4338</v>
      </c>
      <c r="I2676" t="s">
        <v>32</v>
      </c>
      <c r="J2676" s="9"/>
      <c r="K2676" s="9"/>
      <c r="L2676" s="9"/>
    </row>
    <row r="2677" spans="2:12" ht="15" x14ac:dyDescent="0.25">
      <c r="B2677" t="s">
        <v>2102</v>
      </c>
      <c r="C2677" t="s">
        <v>2103</v>
      </c>
      <c r="D2677" t="str">
        <f>HYPERLINK("https://rhld.insurance.arkansas.gov/NPILookup?Npi=1457848384","1457848384")</f>
        <v>1457848384</v>
      </c>
      <c r="E2677" t="s">
        <v>2702</v>
      </c>
      <c r="F2677" t="s">
        <v>12</v>
      </c>
      <c r="G2677" s="20">
        <v>1</v>
      </c>
      <c r="H2677" t="s">
        <v>4349</v>
      </c>
      <c r="I2677" t="s">
        <v>32</v>
      </c>
      <c r="J2677" s="9"/>
      <c r="K2677" s="9"/>
      <c r="L2677" s="9"/>
    </row>
    <row r="2678" spans="2:12" ht="15" x14ac:dyDescent="0.25">
      <c r="B2678" t="s">
        <v>2102</v>
      </c>
      <c r="C2678" t="s">
        <v>2103</v>
      </c>
      <c r="D2678" t="str">
        <f>HYPERLINK("https://rhld.insurance.arkansas.gov/NPILookup?Npi=1457858383","1457858383")</f>
        <v>1457858383</v>
      </c>
      <c r="E2678" t="s">
        <v>2703</v>
      </c>
      <c r="F2678" t="s">
        <v>12</v>
      </c>
      <c r="G2678" s="20">
        <v>1</v>
      </c>
      <c r="H2678" t="s">
        <v>4349</v>
      </c>
      <c r="I2678" t="s">
        <v>4357</v>
      </c>
      <c r="J2678" s="9"/>
      <c r="K2678" s="9"/>
      <c r="L2678" s="9"/>
    </row>
    <row r="2679" spans="2:12" ht="15" x14ac:dyDescent="0.25">
      <c r="B2679" t="s">
        <v>2102</v>
      </c>
      <c r="C2679" t="s">
        <v>2103</v>
      </c>
      <c r="D2679" t="str">
        <f>HYPERLINK("https://rhld.insurance.arkansas.gov/NPILookup?Npi=1457906653","1457906653")</f>
        <v>1457906653</v>
      </c>
      <c r="E2679" t="s">
        <v>2704</v>
      </c>
      <c r="F2679" t="s">
        <v>13</v>
      </c>
      <c r="G2679" s="20">
        <v>1</v>
      </c>
      <c r="H2679" t="s">
        <v>87</v>
      </c>
      <c r="I2679" t="s">
        <v>32</v>
      </c>
      <c r="J2679" s="9"/>
      <c r="K2679" s="9"/>
      <c r="L2679" s="9"/>
    </row>
    <row r="2680" spans="2:12" ht="15" x14ac:dyDescent="0.25">
      <c r="B2680" t="s">
        <v>2102</v>
      </c>
      <c r="C2680" t="s">
        <v>2103</v>
      </c>
      <c r="D2680" t="str">
        <f>HYPERLINK("https://rhld.insurance.arkansas.gov/NPILookup?Npi=1467071357","1467071357")</f>
        <v>1467071357</v>
      </c>
      <c r="E2680" t="s">
        <v>2705</v>
      </c>
      <c r="F2680" t="s">
        <v>12</v>
      </c>
      <c r="G2680" s="20">
        <v>1</v>
      </c>
      <c r="H2680" t="s">
        <v>4349</v>
      </c>
      <c r="I2680" t="s">
        <v>32</v>
      </c>
      <c r="J2680" s="9"/>
      <c r="K2680" s="9"/>
      <c r="L2680" s="9"/>
    </row>
    <row r="2681" spans="2:12" ht="15" x14ac:dyDescent="0.25">
      <c r="B2681" t="s">
        <v>2102</v>
      </c>
      <c r="C2681" t="s">
        <v>2103</v>
      </c>
      <c r="D2681" t="str">
        <f>HYPERLINK("https://rhld.insurance.arkansas.gov/NPILookup?Npi=1467133074","1467133074")</f>
        <v>1467133074</v>
      </c>
      <c r="E2681" t="s">
        <v>2074</v>
      </c>
      <c r="F2681" t="s">
        <v>13</v>
      </c>
      <c r="G2681" s="20">
        <v>1</v>
      </c>
      <c r="H2681" t="s">
        <v>4357</v>
      </c>
      <c r="I2681" t="s">
        <v>4357</v>
      </c>
      <c r="J2681" s="9"/>
      <c r="K2681" s="9"/>
      <c r="L2681" s="9"/>
    </row>
    <row r="2682" spans="2:12" ht="15" x14ac:dyDescent="0.25">
      <c r="B2682" t="s">
        <v>2102</v>
      </c>
      <c r="C2682" t="s">
        <v>2103</v>
      </c>
      <c r="D2682" t="str">
        <f>HYPERLINK("https://rhld.insurance.arkansas.gov/NPILookup?Npi=1467164475","1467164475")</f>
        <v>1467164475</v>
      </c>
      <c r="E2682" t="s">
        <v>2706</v>
      </c>
      <c r="F2682" t="s">
        <v>13</v>
      </c>
      <c r="G2682" s="20">
        <v>1</v>
      </c>
      <c r="H2682" t="s">
        <v>4357</v>
      </c>
      <c r="I2682" t="s">
        <v>4357</v>
      </c>
      <c r="J2682" s="9"/>
      <c r="K2682" s="9"/>
      <c r="L2682" s="9"/>
    </row>
    <row r="2683" spans="2:12" ht="15" x14ac:dyDescent="0.25">
      <c r="B2683" t="s">
        <v>2102</v>
      </c>
      <c r="C2683" t="s">
        <v>2103</v>
      </c>
      <c r="D2683" t="str">
        <f>HYPERLINK("https://rhld.insurance.arkansas.gov/NPILookup?Npi=1467218990","1467218990")</f>
        <v>1467218990</v>
      </c>
      <c r="E2683" t="s">
        <v>2707</v>
      </c>
      <c r="F2683" t="s">
        <v>13</v>
      </c>
      <c r="G2683" s="20">
        <v>2</v>
      </c>
      <c r="H2683" t="s">
        <v>439</v>
      </c>
      <c r="I2683" t="s">
        <v>4357</v>
      </c>
      <c r="J2683" s="9"/>
      <c r="K2683" s="9"/>
      <c r="L2683" s="9"/>
    </row>
    <row r="2684" spans="2:12" ht="15" x14ac:dyDescent="0.25">
      <c r="B2684" t="s">
        <v>2102</v>
      </c>
      <c r="C2684" t="s">
        <v>2103</v>
      </c>
      <c r="D2684" t="str">
        <f>HYPERLINK("https://rhld.insurance.arkansas.gov/NPILookup?Npi=1467230334","1467230334")</f>
        <v>1467230334</v>
      </c>
      <c r="E2684" t="s">
        <v>2708</v>
      </c>
      <c r="F2684" t="s">
        <v>13</v>
      </c>
      <c r="G2684" s="20">
        <v>1</v>
      </c>
      <c r="H2684" t="s">
        <v>4357</v>
      </c>
      <c r="I2684" t="s">
        <v>4357</v>
      </c>
      <c r="J2684" s="9"/>
      <c r="K2684" s="9"/>
      <c r="L2684" s="9"/>
    </row>
    <row r="2685" spans="2:12" ht="15" x14ac:dyDescent="0.25">
      <c r="B2685" t="s">
        <v>2102</v>
      </c>
      <c r="C2685" t="s">
        <v>2103</v>
      </c>
      <c r="D2685" t="str">
        <f>HYPERLINK("https://rhld.insurance.arkansas.gov/NPILookup?Npi=1467251470","1467251470")</f>
        <v>1467251470</v>
      </c>
      <c r="E2685" t="s">
        <v>2709</v>
      </c>
      <c r="F2685" t="s">
        <v>13</v>
      </c>
      <c r="G2685" s="20">
        <v>1</v>
      </c>
      <c r="H2685" t="s">
        <v>4357</v>
      </c>
      <c r="I2685" t="s">
        <v>4357</v>
      </c>
      <c r="J2685" s="9"/>
      <c r="K2685" s="9"/>
      <c r="L2685" s="9"/>
    </row>
    <row r="2686" spans="2:12" ht="15" x14ac:dyDescent="0.25">
      <c r="B2686" t="s">
        <v>2102</v>
      </c>
      <c r="C2686" t="s">
        <v>2103</v>
      </c>
      <c r="D2686" t="str">
        <f>HYPERLINK("https://rhld.insurance.arkansas.gov/NPILookup?Npi=1467417246","1467417246")</f>
        <v>1467417246</v>
      </c>
      <c r="E2686" t="s">
        <v>4555</v>
      </c>
      <c r="F2686" t="s">
        <v>12</v>
      </c>
      <c r="G2686" s="20">
        <v>1</v>
      </c>
      <c r="H2686" t="s">
        <v>4349</v>
      </c>
      <c r="I2686" t="s">
        <v>4357</v>
      </c>
      <c r="J2686" s="9"/>
      <c r="K2686" s="9"/>
      <c r="L2686" s="9"/>
    </row>
    <row r="2687" spans="2:12" ht="15" x14ac:dyDescent="0.25">
      <c r="B2687" t="s">
        <v>2102</v>
      </c>
      <c r="C2687" t="s">
        <v>2103</v>
      </c>
      <c r="D2687" t="str">
        <f>HYPERLINK("https://rhld.insurance.arkansas.gov/NPILookup?Npi=1467494708","1467494708")</f>
        <v>1467494708</v>
      </c>
      <c r="E2687" t="s">
        <v>2710</v>
      </c>
      <c r="F2687" t="s">
        <v>12</v>
      </c>
      <c r="G2687" s="20">
        <v>1</v>
      </c>
      <c r="H2687" t="s">
        <v>139</v>
      </c>
      <c r="I2687" t="s">
        <v>32</v>
      </c>
      <c r="J2687" s="9"/>
      <c r="K2687" s="9"/>
      <c r="L2687" s="9"/>
    </row>
    <row r="2688" spans="2:12" ht="15" x14ac:dyDescent="0.25">
      <c r="B2688" t="s">
        <v>2102</v>
      </c>
      <c r="C2688" t="s">
        <v>2103</v>
      </c>
      <c r="D2688" t="str">
        <f>HYPERLINK("https://rhld.insurance.arkansas.gov/NPILookup?Npi=1467624619","1467624619")</f>
        <v>1467624619</v>
      </c>
      <c r="E2688" t="s">
        <v>108</v>
      </c>
      <c r="F2688" t="s">
        <v>12</v>
      </c>
      <c r="G2688" s="20">
        <v>1</v>
      </c>
      <c r="H2688" t="s">
        <v>4349</v>
      </c>
      <c r="I2688" t="s">
        <v>4357</v>
      </c>
      <c r="J2688" s="9"/>
      <c r="K2688" s="9"/>
      <c r="L2688" s="9"/>
    </row>
    <row r="2689" spans="2:12" ht="15" x14ac:dyDescent="0.25">
      <c r="B2689" t="s">
        <v>2102</v>
      </c>
      <c r="C2689" t="s">
        <v>2103</v>
      </c>
      <c r="D2689" t="str">
        <f>HYPERLINK("https://rhld.insurance.arkansas.gov/NPILookup?Npi=1467665984","1467665984")</f>
        <v>1467665984</v>
      </c>
      <c r="E2689" t="s">
        <v>2711</v>
      </c>
      <c r="F2689" t="s">
        <v>12</v>
      </c>
      <c r="G2689" s="20">
        <v>1</v>
      </c>
      <c r="H2689" t="s">
        <v>4349</v>
      </c>
      <c r="I2689" t="s">
        <v>32</v>
      </c>
      <c r="J2689" s="9"/>
      <c r="K2689" s="9"/>
      <c r="L2689" s="9"/>
    </row>
    <row r="2690" spans="2:12" ht="15" x14ac:dyDescent="0.25">
      <c r="B2690" t="s">
        <v>2102</v>
      </c>
      <c r="C2690" t="s">
        <v>2103</v>
      </c>
      <c r="D2690" t="str">
        <f>HYPERLINK("https://rhld.insurance.arkansas.gov/NPILookup?Npi=1467670984","1467670984")</f>
        <v>1467670984</v>
      </c>
      <c r="E2690" t="s">
        <v>2712</v>
      </c>
      <c r="F2690" t="s">
        <v>12</v>
      </c>
      <c r="G2690" s="20">
        <v>1</v>
      </c>
      <c r="H2690" t="s">
        <v>4349</v>
      </c>
      <c r="I2690" t="s">
        <v>4357</v>
      </c>
      <c r="J2690" s="9"/>
      <c r="K2690" s="9"/>
      <c r="L2690" s="9"/>
    </row>
    <row r="2691" spans="2:12" ht="15" x14ac:dyDescent="0.25">
      <c r="B2691" t="s">
        <v>2102</v>
      </c>
      <c r="C2691" t="s">
        <v>2103</v>
      </c>
      <c r="D2691" t="str">
        <f>HYPERLINK("https://rhld.insurance.arkansas.gov/NPILookup?Npi=1467767087","1467767087")</f>
        <v>1467767087</v>
      </c>
      <c r="E2691" t="s">
        <v>2713</v>
      </c>
      <c r="F2691" t="s">
        <v>13</v>
      </c>
      <c r="G2691" s="20">
        <v>1</v>
      </c>
      <c r="H2691" t="s">
        <v>87</v>
      </c>
      <c r="I2691" t="s">
        <v>32</v>
      </c>
      <c r="J2691" s="9"/>
      <c r="K2691" s="9"/>
      <c r="L2691" s="9"/>
    </row>
    <row r="2692" spans="2:12" ht="15" x14ac:dyDescent="0.25">
      <c r="B2692" t="s">
        <v>2102</v>
      </c>
      <c r="C2692" t="s">
        <v>2103</v>
      </c>
      <c r="D2692" t="str">
        <f>HYPERLINK("https://rhld.insurance.arkansas.gov/NPILookup?Npi=1467820928","1467820928")</f>
        <v>1467820928</v>
      </c>
      <c r="E2692" t="s">
        <v>164</v>
      </c>
      <c r="F2692" t="s">
        <v>12</v>
      </c>
      <c r="G2692" s="20">
        <v>1</v>
      </c>
      <c r="H2692" t="s">
        <v>4349</v>
      </c>
      <c r="I2692" t="s">
        <v>32</v>
      </c>
      <c r="J2692" s="9"/>
      <c r="K2692" s="9"/>
      <c r="L2692" s="9"/>
    </row>
    <row r="2693" spans="2:12" ht="15" x14ac:dyDescent="0.25">
      <c r="B2693" t="s">
        <v>2102</v>
      </c>
      <c r="C2693" t="s">
        <v>2103</v>
      </c>
      <c r="D2693" t="str">
        <f>HYPERLINK("https://rhld.insurance.arkansas.gov/NPILookup?Npi=1467891705","1467891705")</f>
        <v>1467891705</v>
      </c>
      <c r="E2693" t="s">
        <v>1053</v>
      </c>
      <c r="F2693" t="s">
        <v>12</v>
      </c>
      <c r="G2693" s="20">
        <v>1</v>
      </c>
      <c r="H2693" t="s">
        <v>4349</v>
      </c>
      <c r="I2693" t="s">
        <v>32</v>
      </c>
      <c r="J2693" s="9"/>
      <c r="K2693" s="9"/>
      <c r="L2693" s="9"/>
    </row>
    <row r="2694" spans="2:12" ht="15" x14ac:dyDescent="0.25">
      <c r="B2694" t="s">
        <v>2102</v>
      </c>
      <c r="C2694" t="s">
        <v>2103</v>
      </c>
      <c r="D2694" t="str">
        <f>HYPERLINK("https://rhld.insurance.arkansas.gov/NPILookup?Npi=1467909366","1467909366")</f>
        <v>1467909366</v>
      </c>
      <c r="E2694" t="s">
        <v>2715</v>
      </c>
      <c r="F2694" t="s">
        <v>13</v>
      </c>
      <c r="G2694" s="20">
        <v>1</v>
      </c>
      <c r="H2694" t="s">
        <v>4357</v>
      </c>
      <c r="I2694" t="s">
        <v>4357</v>
      </c>
      <c r="J2694" s="9"/>
      <c r="K2694" s="9"/>
      <c r="L2694" s="9"/>
    </row>
    <row r="2695" spans="2:12" ht="15" x14ac:dyDescent="0.25">
      <c r="B2695" t="s">
        <v>2102</v>
      </c>
      <c r="C2695" t="s">
        <v>2103</v>
      </c>
      <c r="D2695" t="str">
        <f>HYPERLINK("https://rhld.insurance.arkansas.gov/NPILookup?Npi=1477045680","1477045680")</f>
        <v>1477045680</v>
      </c>
      <c r="E2695" t="s">
        <v>2716</v>
      </c>
      <c r="F2695" t="s">
        <v>12</v>
      </c>
      <c r="G2695" s="20">
        <v>1</v>
      </c>
      <c r="H2695" t="s">
        <v>4349</v>
      </c>
      <c r="I2695" t="s">
        <v>32</v>
      </c>
      <c r="J2695" s="9"/>
      <c r="K2695" s="9"/>
      <c r="L2695" s="9"/>
    </row>
    <row r="2696" spans="2:12" ht="15" x14ac:dyDescent="0.25">
      <c r="B2696" t="s">
        <v>2102</v>
      </c>
      <c r="C2696" t="s">
        <v>2103</v>
      </c>
      <c r="D2696" t="str">
        <f>HYPERLINK("https://rhld.insurance.arkansas.gov/NPILookup?Npi=1477065803","1477065803")</f>
        <v>1477065803</v>
      </c>
      <c r="E2696" t="s">
        <v>2717</v>
      </c>
      <c r="F2696" t="s">
        <v>13</v>
      </c>
      <c r="G2696" s="20">
        <v>1</v>
      </c>
      <c r="H2696" t="s">
        <v>4357</v>
      </c>
      <c r="I2696" t="s">
        <v>4357</v>
      </c>
      <c r="J2696" s="9"/>
      <c r="K2696" s="9"/>
      <c r="L2696" s="9"/>
    </row>
    <row r="2697" spans="2:12" ht="15" x14ac:dyDescent="0.25">
      <c r="B2697" t="s">
        <v>2102</v>
      </c>
      <c r="C2697" t="s">
        <v>2103</v>
      </c>
      <c r="D2697" t="str">
        <f>HYPERLINK("https://rhld.insurance.arkansas.gov/NPILookup?Npi=1477234490","1477234490")</f>
        <v>1477234490</v>
      </c>
      <c r="E2697" t="s">
        <v>2719</v>
      </c>
      <c r="F2697" t="s">
        <v>13</v>
      </c>
      <c r="G2697" s="20">
        <v>2</v>
      </c>
      <c r="H2697" t="s">
        <v>439</v>
      </c>
      <c r="I2697" t="s">
        <v>4357</v>
      </c>
      <c r="J2697" s="9"/>
      <c r="K2697" s="9"/>
      <c r="L2697" s="9"/>
    </row>
    <row r="2698" spans="2:12" ht="15" x14ac:dyDescent="0.25">
      <c r="B2698" t="s">
        <v>2102</v>
      </c>
      <c r="C2698" t="s">
        <v>2103</v>
      </c>
      <c r="D2698" t="str">
        <f>HYPERLINK("https://rhld.insurance.arkansas.gov/NPILookup?Npi=1477267193","1477267193")</f>
        <v>1477267193</v>
      </c>
      <c r="E2698" t="s">
        <v>2720</v>
      </c>
      <c r="F2698" t="s">
        <v>12</v>
      </c>
      <c r="G2698" s="20">
        <v>1</v>
      </c>
      <c r="H2698" t="s">
        <v>4338</v>
      </c>
      <c r="I2698" t="s">
        <v>32</v>
      </c>
      <c r="J2698" s="9"/>
      <c r="K2698" s="9"/>
      <c r="L2698" s="9"/>
    </row>
    <row r="2699" spans="2:12" ht="15" x14ac:dyDescent="0.25">
      <c r="B2699" t="s">
        <v>2102</v>
      </c>
      <c r="C2699" t="s">
        <v>2103</v>
      </c>
      <c r="D2699" t="str">
        <f>HYPERLINK("https://rhld.insurance.arkansas.gov/NPILookup?Npi=1477374973","1477374973")</f>
        <v>1477374973</v>
      </c>
      <c r="E2699" t="s">
        <v>2075</v>
      </c>
      <c r="F2699" t="s">
        <v>13</v>
      </c>
      <c r="G2699" s="20">
        <v>1</v>
      </c>
      <c r="H2699" t="s">
        <v>4357</v>
      </c>
      <c r="I2699" t="s">
        <v>4357</v>
      </c>
      <c r="J2699" s="9"/>
      <c r="K2699" s="9"/>
      <c r="L2699" s="9"/>
    </row>
    <row r="2700" spans="2:12" ht="15" x14ac:dyDescent="0.25">
      <c r="B2700" t="s">
        <v>2102</v>
      </c>
      <c r="C2700" t="s">
        <v>2103</v>
      </c>
      <c r="D2700" t="str">
        <f>HYPERLINK("https://rhld.insurance.arkansas.gov/NPILookup?Npi=1477528776","1477528776")</f>
        <v>1477528776</v>
      </c>
      <c r="E2700" t="s">
        <v>2722</v>
      </c>
      <c r="F2700" t="s">
        <v>12</v>
      </c>
      <c r="G2700" s="20">
        <v>1</v>
      </c>
      <c r="H2700" t="s">
        <v>139</v>
      </c>
      <c r="I2700" t="s">
        <v>32</v>
      </c>
      <c r="J2700" s="9"/>
      <c r="K2700" s="9"/>
      <c r="L2700" s="9"/>
    </row>
    <row r="2701" spans="2:12" ht="15" x14ac:dyDescent="0.25">
      <c r="B2701" t="s">
        <v>2102</v>
      </c>
      <c r="C2701" t="s">
        <v>2103</v>
      </c>
      <c r="D2701" t="str">
        <f>HYPERLINK("https://rhld.insurance.arkansas.gov/NPILookup?Npi=1477557064","1477557064")</f>
        <v>1477557064</v>
      </c>
      <c r="E2701" t="s">
        <v>4556</v>
      </c>
      <c r="F2701" t="s">
        <v>12</v>
      </c>
      <c r="G2701" s="20">
        <v>1</v>
      </c>
      <c r="H2701" t="s">
        <v>4349</v>
      </c>
      <c r="I2701" t="s">
        <v>4357</v>
      </c>
      <c r="J2701" s="9"/>
      <c r="K2701" s="9"/>
      <c r="L2701" s="9"/>
    </row>
    <row r="2702" spans="2:12" ht="15" x14ac:dyDescent="0.25">
      <c r="B2702" t="s">
        <v>2102</v>
      </c>
      <c r="C2702" t="s">
        <v>2103</v>
      </c>
      <c r="D2702" t="str">
        <f>HYPERLINK("https://rhld.insurance.arkansas.gov/NPILookup?Npi=1477585768","1477585768")</f>
        <v>1477585768</v>
      </c>
      <c r="E2702" t="s">
        <v>2723</v>
      </c>
      <c r="F2702" t="s">
        <v>12</v>
      </c>
      <c r="G2702" s="20">
        <v>1</v>
      </c>
      <c r="H2702" t="s">
        <v>4349</v>
      </c>
      <c r="I2702" t="s">
        <v>4357</v>
      </c>
      <c r="J2702" s="9"/>
      <c r="K2702" s="9"/>
      <c r="L2702" s="9"/>
    </row>
    <row r="2703" spans="2:12" ht="15" x14ac:dyDescent="0.25">
      <c r="B2703" t="s">
        <v>2102</v>
      </c>
      <c r="C2703" t="s">
        <v>2103</v>
      </c>
      <c r="D2703" t="str">
        <f>HYPERLINK("https://rhld.insurance.arkansas.gov/NPILookup?Npi=1477591147","1477591147")</f>
        <v>1477591147</v>
      </c>
      <c r="E2703" t="s">
        <v>2724</v>
      </c>
      <c r="F2703" t="s">
        <v>12</v>
      </c>
      <c r="G2703" s="20">
        <v>1</v>
      </c>
      <c r="H2703" t="s">
        <v>4349</v>
      </c>
      <c r="I2703" t="s">
        <v>32</v>
      </c>
      <c r="J2703" s="9"/>
      <c r="K2703" s="9"/>
      <c r="L2703" s="9"/>
    </row>
    <row r="2704" spans="2:12" ht="15" x14ac:dyDescent="0.25">
      <c r="B2704" t="s">
        <v>2102</v>
      </c>
      <c r="C2704" t="s">
        <v>2103</v>
      </c>
      <c r="D2704" t="str">
        <f>HYPERLINK("https://rhld.insurance.arkansas.gov/NPILookup?Npi=1477633774","1477633774")</f>
        <v>1477633774</v>
      </c>
      <c r="E2704" t="s">
        <v>2726</v>
      </c>
      <c r="F2704" t="s">
        <v>12</v>
      </c>
      <c r="G2704" s="20">
        <v>1</v>
      </c>
      <c r="H2704" t="s">
        <v>4349</v>
      </c>
      <c r="I2704" t="s">
        <v>4357</v>
      </c>
      <c r="J2704" s="9"/>
      <c r="K2704" s="9"/>
      <c r="L2704" s="9"/>
    </row>
    <row r="2705" spans="2:12" ht="15" x14ac:dyDescent="0.25">
      <c r="B2705" t="s">
        <v>2102</v>
      </c>
      <c r="C2705" t="s">
        <v>2103</v>
      </c>
      <c r="D2705" t="str">
        <f>HYPERLINK("https://rhld.insurance.arkansas.gov/NPILookup?Npi=1477692572","1477692572")</f>
        <v>1477692572</v>
      </c>
      <c r="E2705" t="s">
        <v>2727</v>
      </c>
      <c r="F2705" t="s">
        <v>13</v>
      </c>
      <c r="G2705" s="20">
        <v>1</v>
      </c>
      <c r="H2705" t="s">
        <v>87</v>
      </c>
      <c r="I2705" t="s">
        <v>4357</v>
      </c>
      <c r="J2705" s="9"/>
      <c r="K2705" s="9"/>
      <c r="L2705" s="9"/>
    </row>
    <row r="2706" spans="2:12" ht="15" x14ac:dyDescent="0.25">
      <c r="B2706" t="s">
        <v>2102</v>
      </c>
      <c r="C2706" t="s">
        <v>2103</v>
      </c>
      <c r="D2706" t="str">
        <f>HYPERLINK("https://rhld.insurance.arkansas.gov/NPILookup?Npi=1477692630","1477692630")</f>
        <v>1477692630</v>
      </c>
      <c r="E2706" t="s">
        <v>2728</v>
      </c>
      <c r="F2706" t="s">
        <v>12</v>
      </c>
      <c r="G2706" s="20">
        <v>1</v>
      </c>
      <c r="H2706" t="s">
        <v>139</v>
      </c>
      <c r="I2706" t="s">
        <v>32</v>
      </c>
      <c r="J2706" s="9"/>
      <c r="K2706" s="9"/>
      <c r="L2706" s="9"/>
    </row>
    <row r="2707" spans="2:12" ht="15" x14ac:dyDescent="0.25">
      <c r="B2707" t="s">
        <v>2102</v>
      </c>
      <c r="C2707" t="s">
        <v>2103</v>
      </c>
      <c r="D2707" t="str">
        <f>HYPERLINK("https://rhld.insurance.arkansas.gov/NPILookup?Npi=1477933893","1477933893")</f>
        <v>1477933893</v>
      </c>
      <c r="E2707" t="s">
        <v>2731</v>
      </c>
      <c r="F2707" t="s">
        <v>13</v>
      </c>
      <c r="G2707" s="20">
        <v>1</v>
      </c>
      <c r="H2707" t="s">
        <v>4357</v>
      </c>
      <c r="I2707" t="s">
        <v>4357</v>
      </c>
      <c r="J2707" s="9"/>
      <c r="K2707" s="9"/>
      <c r="L2707" s="9"/>
    </row>
    <row r="2708" spans="2:12" ht="15" x14ac:dyDescent="0.25">
      <c r="B2708" t="s">
        <v>2102</v>
      </c>
      <c r="C2708" t="s">
        <v>2103</v>
      </c>
      <c r="D2708" t="str">
        <f>HYPERLINK("https://rhld.insurance.arkansas.gov/NPILookup?Npi=1487035945","1487035945")</f>
        <v>1487035945</v>
      </c>
      <c r="E2708" t="s">
        <v>2732</v>
      </c>
      <c r="F2708" t="s">
        <v>12</v>
      </c>
      <c r="G2708" s="20">
        <v>1</v>
      </c>
      <c r="H2708" t="s">
        <v>4349</v>
      </c>
      <c r="I2708" t="s">
        <v>32</v>
      </c>
      <c r="J2708" s="9"/>
      <c r="K2708" s="9"/>
      <c r="L2708" s="9"/>
    </row>
    <row r="2709" spans="2:12" ht="15" x14ac:dyDescent="0.25">
      <c r="B2709" t="s">
        <v>2102</v>
      </c>
      <c r="C2709" t="s">
        <v>2103</v>
      </c>
      <c r="D2709" t="str">
        <f>HYPERLINK("https://rhld.insurance.arkansas.gov/NPILookup?Npi=1487038105","1487038105")</f>
        <v>1487038105</v>
      </c>
      <c r="E2709" t="s">
        <v>2733</v>
      </c>
      <c r="F2709" t="s">
        <v>12</v>
      </c>
      <c r="G2709" s="20">
        <v>1</v>
      </c>
      <c r="H2709" t="s">
        <v>4349</v>
      </c>
      <c r="I2709" t="s">
        <v>32</v>
      </c>
      <c r="J2709" s="9"/>
      <c r="K2709" s="9"/>
      <c r="L2709" s="9"/>
    </row>
    <row r="2710" spans="2:12" ht="15" x14ac:dyDescent="0.25">
      <c r="B2710" t="s">
        <v>2102</v>
      </c>
      <c r="C2710" t="s">
        <v>2103</v>
      </c>
      <c r="D2710" t="str">
        <f>HYPERLINK("https://rhld.insurance.arkansas.gov/NPILookup?Npi=1487038477","1487038477")</f>
        <v>1487038477</v>
      </c>
      <c r="E2710" t="s">
        <v>4557</v>
      </c>
      <c r="F2710" t="s">
        <v>12</v>
      </c>
      <c r="G2710" s="20">
        <v>1</v>
      </c>
      <c r="H2710" t="s">
        <v>4349</v>
      </c>
      <c r="I2710" t="s">
        <v>32</v>
      </c>
      <c r="J2710" s="9"/>
      <c r="K2710" s="9"/>
      <c r="L2710" s="9"/>
    </row>
    <row r="2711" spans="2:12" ht="15" x14ac:dyDescent="0.25">
      <c r="B2711" t="s">
        <v>2102</v>
      </c>
      <c r="C2711" t="s">
        <v>2103</v>
      </c>
      <c r="D2711" t="str">
        <f>HYPERLINK("https://rhld.insurance.arkansas.gov/NPILookup?Npi=1487102596","1487102596")</f>
        <v>1487102596</v>
      </c>
      <c r="E2711" t="s">
        <v>2734</v>
      </c>
      <c r="F2711" t="s">
        <v>12</v>
      </c>
      <c r="G2711" s="20">
        <v>1</v>
      </c>
      <c r="H2711" t="s">
        <v>4338</v>
      </c>
      <c r="I2711" t="s">
        <v>32</v>
      </c>
      <c r="J2711" s="9"/>
      <c r="K2711" s="9"/>
      <c r="L2711" s="9"/>
    </row>
    <row r="2712" spans="2:12" ht="15" x14ac:dyDescent="0.25">
      <c r="B2712" t="s">
        <v>2102</v>
      </c>
      <c r="C2712" t="s">
        <v>2103</v>
      </c>
      <c r="D2712" t="str">
        <f>HYPERLINK("https://rhld.insurance.arkansas.gov/NPILookup?Npi=1487189064","1487189064")</f>
        <v>1487189064</v>
      </c>
      <c r="E2712" t="s">
        <v>2735</v>
      </c>
      <c r="F2712" t="s">
        <v>12</v>
      </c>
      <c r="G2712" s="20">
        <v>1</v>
      </c>
      <c r="H2712" t="s">
        <v>4349</v>
      </c>
      <c r="I2712" t="s">
        <v>32</v>
      </c>
      <c r="J2712" s="9"/>
      <c r="K2712" s="9"/>
      <c r="L2712" s="9"/>
    </row>
    <row r="2713" spans="2:12" ht="15" x14ac:dyDescent="0.25">
      <c r="B2713" t="s">
        <v>2102</v>
      </c>
      <c r="C2713" t="s">
        <v>2103</v>
      </c>
      <c r="D2713" t="str">
        <f>HYPERLINK("https://rhld.insurance.arkansas.gov/NPILookup?Npi=1487223699","1487223699")</f>
        <v>1487223699</v>
      </c>
      <c r="E2713" t="s">
        <v>2736</v>
      </c>
      <c r="F2713" t="s">
        <v>13</v>
      </c>
      <c r="G2713" s="20">
        <v>1</v>
      </c>
      <c r="H2713" t="s">
        <v>4357</v>
      </c>
      <c r="I2713" t="s">
        <v>4357</v>
      </c>
      <c r="J2713" s="9"/>
      <c r="K2713" s="9"/>
      <c r="L2713" s="9"/>
    </row>
    <row r="2714" spans="2:12" ht="15" x14ac:dyDescent="0.25">
      <c r="B2714" t="s">
        <v>2102</v>
      </c>
      <c r="C2714" t="s">
        <v>2103</v>
      </c>
      <c r="D2714" t="str">
        <f>HYPERLINK("https://rhld.insurance.arkansas.gov/NPILookup?Npi=1487269080","1487269080")</f>
        <v>1487269080</v>
      </c>
      <c r="E2714" t="s">
        <v>1500</v>
      </c>
      <c r="F2714" t="s">
        <v>13</v>
      </c>
      <c r="G2714" s="20">
        <v>1</v>
      </c>
      <c r="H2714" t="s">
        <v>4357</v>
      </c>
      <c r="I2714" t="s">
        <v>4357</v>
      </c>
      <c r="J2714" s="9"/>
      <c r="K2714" s="9"/>
      <c r="L2714" s="9"/>
    </row>
    <row r="2715" spans="2:12" ht="15" x14ac:dyDescent="0.25">
      <c r="B2715" t="s">
        <v>2102</v>
      </c>
      <c r="C2715" t="s">
        <v>2103</v>
      </c>
      <c r="D2715" t="str">
        <f>HYPERLINK("https://rhld.insurance.arkansas.gov/NPILookup?Npi=1487299525","1487299525")</f>
        <v>1487299525</v>
      </c>
      <c r="E2715" t="s">
        <v>2738</v>
      </c>
      <c r="F2715" t="s">
        <v>12</v>
      </c>
      <c r="G2715" s="20">
        <v>1</v>
      </c>
      <c r="H2715" t="s">
        <v>4338</v>
      </c>
      <c r="I2715" t="s">
        <v>32</v>
      </c>
      <c r="J2715" s="9"/>
      <c r="K2715" s="9"/>
      <c r="L2715" s="9"/>
    </row>
    <row r="2716" spans="2:12" ht="15" x14ac:dyDescent="0.25">
      <c r="B2716" t="s">
        <v>2102</v>
      </c>
      <c r="C2716" t="s">
        <v>2103</v>
      </c>
      <c r="D2716" t="str">
        <f>HYPERLINK("https://rhld.insurance.arkansas.gov/NPILookup?Npi=1487342267","1487342267")</f>
        <v>1487342267</v>
      </c>
      <c r="E2716" t="s">
        <v>2739</v>
      </c>
      <c r="F2716" t="s">
        <v>12</v>
      </c>
      <c r="G2716" s="20">
        <v>1</v>
      </c>
      <c r="H2716" t="s">
        <v>4338</v>
      </c>
      <c r="I2716" t="s">
        <v>32</v>
      </c>
      <c r="J2716" s="9"/>
      <c r="K2716" s="9"/>
      <c r="L2716" s="9"/>
    </row>
    <row r="2717" spans="2:12" ht="15" x14ac:dyDescent="0.25">
      <c r="B2717" t="s">
        <v>2102</v>
      </c>
      <c r="C2717" t="s">
        <v>2103</v>
      </c>
      <c r="D2717" t="str">
        <f>HYPERLINK("https://rhld.insurance.arkansas.gov/NPILookup?Npi=1487376935","1487376935")</f>
        <v>1487376935</v>
      </c>
      <c r="E2717" t="s">
        <v>2740</v>
      </c>
      <c r="F2717" t="s">
        <v>12</v>
      </c>
      <c r="G2717" s="20">
        <v>1</v>
      </c>
      <c r="H2717" t="s">
        <v>4338</v>
      </c>
      <c r="I2717" t="s">
        <v>32</v>
      </c>
      <c r="J2717" s="9"/>
      <c r="K2717" s="9"/>
      <c r="L2717" s="9"/>
    </row>
    <row r="2718" spans="2:12" ht="15" x14ac:dyDescent="0.25">
      <c r="B2718" t="s">
        <v>2102</v>
      </c>
      <c r="C2718" t="s">
        <v>2103</v>
      </c>
      <c r="D2718" t="str">
        <f>HYPERLINK("https://rhld.insurance.arkansas.gov/NPILookup?Npi=1487391306","1487391306")</f>
        <v>1487391306</v>
      </c>
      <c r="E2718" t="s">
        <v>2741</v>
      </c>
      <c r="F2718" t="s">
        <v>13</v>
      </c>
      <c r="G2718" s="20">
        <v>1</v>
      </c>
      <c r="H2718" t="s">
        <v>4357</v>
      </c>
      <c r="I2718" t="s">
        <v>4357</v>
      </c>
      <c r="J2718" s="9"/>
      <c r="K2718" s="9"/>
      <c r="L2718" s="9"/>
    </row>
    <row r="2719" spans="2:12" ht="15" x14ac:dyDescent="0.25">
      <c r="B2719" t="s">
        <v>2102</v>
      </c>
      <c r="C2719" t="s">
        <v>2103</v>
      </c>
      <c r="D2719" t="str">
        <f>HYPERLINK("https://rhld.insurance.arkansas.gov/NPILookup?Npi=1487647806","1487647806")</f>
        <v>1487647806</v>
      </c>
      <c r="E2719" t="s">
        <v>4558</v>
      </c>
      <c r="F2719" t="s">
        <v>12</v>
      </c>
      <c r="G2719" s="20">
        <v>1</v>
      </c>
      <c r="H2719" t="s">
        <v>4349</v>
      </c>
      <c r="I2719" t="s">
        <v>32</v>
      </c>
      <c r="J2719" s="9"/>
      <c r="K2719" s="9"/>
      <c r="L2719" s="9"/>
    </row>
    <row r="2720" spans="2:12" ht="15" x14ac:dyDescent="0.25">
      <c r="B2720" t="s">
        <v>2102</v>
      </c>
      <c r="C2720" t="s">
        <v>2103</v>
      </c>
      <c r="D2720" t="str">
        <f>HYPERLINK("https://rhld.insurance.arkansas.gov/NPILookup?Npi=1487733259","1487733259")</f>
        <v>1487733259</v>
      </c>
      <c r="E2720" t="s">
        <v>2743</v>
      </c>
      <c r="F2720" t="s">
        <v>12</v>
      </c>
      <c r="G2720" s="20">
        <v>1</v>
      </c>
      <c r="H2720" t="s">
        <v>4338</v>
      </c>
      <c r="I2720" t="s">
        <v>32</v>
      </c>
      <c r="J2720" s="9"/>
      <c r="K2720" s="9"/>
      <c r="L2720" s="9"/>
    </row>
    <row r="2721" spans="2:12" ht="15" x14ac:dyDescent="0.25">
      <c r="B2721" t="s">
        <v>2102</v>
      </c>
      <c r="C2721" t="s">
        <v>2103</v>
      </c>
      <c r="D2721" t="str">
        <f>HYPERLINK("https://rhld.insurance.arkansas.gov/NPILookup?Npi=1487745337","1487745337")</f>
        <v>1487745337</v>
      </c>
      <c r="E2721" t="s">
        <v>2744</v>
      </c>
      <c r="F2721" t="s">
        <v>12</v>
      </c>
      <c r="G2721" s="20">
        <v>1</v>
      </c>
      <c r="H2721" t="s">
        <v>4349</v>
      </c>
      <c r="I2721" t="s">
        <v>4357</v>
      </c>
      <c r="J2721" s="9"/>
      <c r="K2721" s="9"/>
      <c r="L2721" s="9"/>
    </row>
    <row r="2722" spans="2:12" ht="15" x14ac:dyDescent="0.25">
      <c r="B2722" t="s">
        <v>2102</v>
      </c>
      <c r="C2722" t="s">
        <v>2103</v>
      </c>
      <c r="D2722" t="str">
        <f>HYPERLINK("https://rhld.insurance.arkansas.gov/NPILookup?Npi=1487754347","1487754347")</f>
        <v>1487754347</v>
      </c>
      <c r="E2722" t="s">
        <v>2745</v>
      </c>
      <c r="F2722" t="s">
        <v>13</v>
      </c>
      <c r="G2722" s="20">
        <v>1</v>
      </c>
      <c r="H2722" t="s">
        <v>87</v>
      </c>
      <c r="I2722" t="s">
        <v>32</v>
      </c>
      <c r="J2722" s="9"/>
      <c r="K2722" s="9"/>
      <c r="L2722" s="9"/>
    </row>
    <row r="2723" spans="2:12" ht="15" x14ac:dyDescent="0.25">
      <c r="B2723" t="s">
        <v>2102</v>
      </c>
      <c r="C2723" t="s">
        <v>2103</v>
      </c>
      <c r="D2723" t="str">
        <f>HYPERLINK("https://rhld.insurance.arkansas.gov/NPILookup?Npi=1487810826","1487810826")</f>
        <v>1487810826</v>
      </c>
      <c r="E2723" t="s">
        <v>2746</v>
      </c>
      <c r="F2723" t="s">
        <v>12</v>
      </c>
      <c r="G2723" s="20">
        <v>1</v>
      </c>
      <c r="H2723" t="s">
        <v>4349</v>
      </c>
      <c r="I2723" t="s">
        <v>4357</v>
      </c>
      <c r="J2723" s="9"/>
      <c r="K2723" s="9"/>
      <c r="L2723" s="9"/>
    </row>
    <row r="2724" spans="2:12" ht="15" x14ac:dyDescent="0.25">
      <c r="B2724" t="s">
        <v>2102</v>
      </c>
      <c r="C2724" t="s">
        <v>2103</v>
      </c>
      <c r="D2724" t="str">
        <f>HYPERLINK("https://rhld.insurance.arkansas.gov/NPILookup?Npi=1487844585","1487844585")</f>
        <v>1487844585</v>
      </c>
      <c r="E2724" t="s">
        <v>2747</v>
      </c>
      <c r="F2724" t="s">
        <v>12</v>
      </c>
      <c r="G2724" s="20">
        <v>1</v>
      </c>
      <c r="H2724" t="s">
        <v>4338</v>
      </c>
      <c r="I2724" t="s">
        <v>32</v>
      </c>
      <c r="J2724" s="9"/>
      <c r="K2724" s="9"/>
      <c r="L2724" s="9"/>
    </row>
    <row r="2725" spans="2:12" ht="15" x14ac:dyDescent="0.25">
      <c r="B2725" t="s">
        <v>2102</v>
      </c>
      <c r="C2725" t="s">
        <v>2103</v>
      </c>
      <c r="D2725" t="str">
        <f>HYPERLINK("https://rhld.insurance.arkansas.gov/NPILookup?Npi=1487852422","1487852422")</f>
        <v>1487852422</v>
      </c>
      <c r="E2725" t="s">
        <v>113</v>
      </c>
      <c r="F2725" t="s">
        <v>12</v>
      </c>
      <c r="G2725" s="20">
        <v>1</v>
      </c>
      <c r="H2725" t="s">
        <v>4349</v>
      </c>
      <c r="I2725" t="s">
        <v>32</v>
      </c>
      <c r="J2725" s="9"/>
      <c r="K2725" s="9"/>
      <c r="L2725" s="9"/>
    </row>
    <row r="2726" spans="2:12" ht="15" x14ac:dyDescent="0.25">
      <c r="B2726" t="s">
        <v>2102</v>
      </c>
      <c r="C2726" t="s">
        <v>2103</v>
      </c>
      <c r="D2726" t="str">
        <f>HYPERLINK("https://rhld.insurance.arkansas.gov/NPILookup?Npi=1487930905","1487930905")</f>
        <v>1487930905</v>
      </c>
      <c r="E2726" t="s">
        <v>2749</v>
      </c>
      <c r="F2726" t="s">
        <v>12</v>
      </c>
      <c r="G2726" s="20">
        <v>1</v>
      </c>
      <c r="H2726" t="s">
        <v>4349</v>
      </c>
      <c r="I2726" t="s">
        <v>32</v>
      </c>
      <c r="J2726" s="9"/>
      <c r="K2726" s="9"/>
      <c r="L2726" s="9"/>
    </row>
    <row r="2727" spans="2:12" ht="15" x14ac:dyDescent="0.25">
      <c r="B2727" t="s">
        <v>2102</v>
      </c>
      <c r="C2727" t="s">
        <v>2103</v>
      </c>
      <c r="D2727" t="str">
        <f>HYPERLINK("https://rhld.insurance.arkansas.gov/NPILookup?Npi=1487944286","1487944286")</f>
        <v>1487944286</v>
      </c>
      <c r="E2727" t="s">
        <v>2750</v>
      </c>
      <c r="F2727" t="s">
        <v>13</v>
      </c>
      <c r="G2727" s="20">
        <v>1</v>
      </c>
      <c r="H2727" t="s">
        <v>87</v>
      </c>
      <c r="I2727" t="s">
        <v>4357</v>
      </c>
      <c r="J2727" s="9"/>
      <c r="K2727" s="9"/>
      <c r="L2727" s="9"/>
    </row>
    <row r="2728" spans="2:12" ht="15" x14ac:dyDescent="0.25">
      <c r="B2728" t="s">
        <v>2102</v>
      </c>
      <c r="C2728" t="s">
        <v>2103</v>
      </c>
      <c r="D2728" t="str">
        <f>HYPERLINK("https://rhld.insurance.arkansas.gov/NPILookup?Npi=1487944617","1487944617")</f>
        <v>1487944617</v>
      </c>
      <c r="E2728" t="s">
        <v>4559</v>
      </c>
      <c r="F2728" t="s">
        <v>12</v>
      </c>
      <c r="G2728" s="20">
        <v>1</v>
      </c>
      <c r="H2728" t="s">
        <v>4349</v>
      </c>
      <c r="I2728" t="s">
        <v>32</v>
      </c>
      <c r="J2728" s="9"/>
      <c r="K2728" s="9"/>
      <c r="L2728" s="9"/>
    </row>
    <row r="2729" spans="2:12" ht="15" x14ac:dyDescent="0.25">
      <c r="B2729" t="s">
        <v>2102</v>
      </c>
      <c r="C2729" t="s">
        <v>2103</v>
      </c>
      <c r="D2729" t="str">
        <f>HYPERLINK("https://rhld.insurance.arkansas.gov/NPILookup?Npi=1497017404","1497017404")</f>
        <v>1497017404</v>
      </c>
      <c r="E2729" t="s">
        <v>2751</v>
      </c>
      <c r="F2729" t="s">
        <v>12</v>
      </c>
      <c r="G2729" s="20">
        <v>1</v>
      </c>
      <c r="H2729" t="s">
        <v>4338</v>
      </c>
      <c r="I2729" t="s">
        <v>32</v>
      </c>
      <c r="J2729" s="9"/>
      <c r="K2729" s="9"/>
      <c r="L2729" s="9"/>
    </row>
    <row r="2730" spans="2:12" ht="15" x14ac:dyDescent="0.25">
      <c r="B2730" t="s">
        <v>2102</v>
      </c>
      <c r="C2730" t="s">
        <v>2103</v>
      </c>
      <c r="D2730" t="str">
        <f>HYPERLINK("https://rhld.insurance.arkansas.gov/NPILookup?Npi=1497079933","1497079933")</f>
        <v>1497079933</v>
      </c>
      <c r="E2730" t="s">
        <v>2752</v>
      </c>
      <c r="F2730" t="s">
        <v>12</v>
      </c>
      <c r="G2730" s="20">
        <v>1</v>
      </c>
      <c r="H2730" t="s">
        <v>4349</v>
      </c>
      <c r="I2730" t="s">
        <v>32</v>
      </c>
      <c r="J2730" s="9"/>
      <c r="K2730" s="9"/>
      <c r="L2730" s="9"/>
    </row>
    <row r="2731" spans="2:12" ht="15" x14ac:dyDescent="0.25">
      <c r="B2731" t="s">
        <v>2102</v>
      </c>
      <c r="C2731" t="s">
        <v>2103</v>
      </c>
      <c r="D2731" t="str">
        <f>HYPERLINK("https://rhld.insurance.arkansas.gov/NPILookup?Npi=1497144901","1497144901")</f>
        <v>1497144901</v>
      </c>
      <c r="E2731" t="s">
        <v>2753</v>
      </c>
      <c r="F2731" t="s">
        <v>13</v>
      </c>
      <c r="G2731" s="20">
        <v>2</v>
      </c>
      <c r="H2731" t="s">
        <v>439</v>
      </c>
      <c r="I2731" t="s">
        <v>4357</v>
      </c>
      <c r="J2731" s="9"/>
      <c r="K2731" s="9"/>
      <c r="L2731" s="9"/>
    </row>
    <row r="2732" spans="2:12" ht="15" x14ac:dyDescent="0.25">
      <c r="B2732" t="s">
        <v>2102</v>
      </c>
      <c r="C2732" t="s">
        <v>2103</v>
      </c>
      <c r="D2732" t="str">
        <f>HYPERLINK("https://rhld.insurance.arkansas.gov/NPILookup?Npi=1497190862","1497190862")</f>
        <v>1497190862</v>
      </c>
      <c r="E2732" t="s">
        <v>2754</v>
      </c>
      <c r="F2732" t="s">
        <v>12</v>
      </c>
      <c r="G2732" s="20">
        <v>1</v>
      </c>
      <c r="H2732" t="s">
        <v>4349</v>
      </c>
      <c r="I2732" t="s">
        <v>4357</v>
      </c>
      <c r="J2732" s="9"/>
      <c r="K2732" s="9"/>
      <c r="L2732" s="9"/>
    </row>
    <row r="2733" spans="2:12" ht="15" x14ac:dyDescent="0.25">
      <c r="B2733" t="s">
        <v>2102</v>
      </c>
      <c r="C2733" t="s">
        <v>2103</v>
      </c>
      <c r="D2733" t="str">
        <f>HYPERLINK("https://rhld.insurance.arkansas.gov/NPILookup?Npi=1497198865","1497198865")</f>
        <v>1497198865</v>
      </c>
      <c r="E2733" t="s">
        <v>2755</v>
      </c>
      <c r="F2733" t="s">
        <v>12</v>
      </c>
      <c r="G2733" s="20">
        <v>1</v>
      </c>
      <c r="H2733" t="s">
        <v>4349</v>
      </c>
      <c r="I2733" t="s">
        <v>4357</v>
      </c>
      <c r="J2733" s="9"/>
      <c r="K2733" s="9"/>
      <c r="L2733" s="9"/>
    </row>
    <row r="2734" spans="2:12" ht="15" x14ac:dyDescent="0.25">
      <c r="B2734" t="s">
        <v>2102</v>
      </c>
      <c r="C2734" t="s">
        <v>2103</v>
      </c>
      <c r="D2734" t="str">
        <f>HYPERLINK("https://rhld.insurance.arkansas.gov/NPILookup?Npi=1497246086","1497246086")</f>
        <v>1497246086</v>
      </c>
      <c r="E2734" t="s">
        <v>2756</v>
      </c>
      <c r="F2734" t="s">
        <v>12</v>
      </c>
      <c r="G2734" s="20">
        <v>1</v>
      </c>
      <c r="H2734" t="s">
        <v>4338</v>
      </c>
      <c r="I2734" t="s">
        <v>32</v>
      </c>
      <c r="J2734" s="9"/>
      <c r="K2734" s="9"/>
      <c r="L2734" s="9"/>
    </row>
    <row r="2735" spans="2:12" ht="15" x14ac:dyDescent="0.25">
      <c r="B2735" t="s">
        <v>2102</v>
      </c>
      <c r="C2735" t="s">
        <v>2103</v>
      </c>
      <c r="D2735" t="str">
        <f>HYPERLINK("https://rhld.insurance.arkansas.gov/NPILookup?Npi=1497288138","1497288138")</f>
        <v>1497288138</v>
      </c>
      <c r="E2735" t="s">
        <v>2758</v>
      </c>
      <c r="F2735" t="s">
        <v>12</v>
      </c>
      <c r="G2735" s="20">
        <v>1</v>
      </c>
      <c r="H2735" t="s">
        <v>4349</v>
      </c>
      <c r="I2735" t="s">
        <v>4357</v>
      </c>
      <c r="J2735" s="9"/>
      <c r="K2735" s="9"/>
      <c r="L2735" s="9"/>
    </row>
    <row r="2736" spans="2:12" ht="15" x14ac:dyDescent="0.25">
      <c r="B2736" t="s">
        <v>2102</v>
      </c>
      <c r="C2736" t="s">
        <v>2103</v>
      </c>
      <c r="D2736" t="str">
        <f>HYPERLINK("https://rhld.insurance.arkansas.gov/NPILookup?Npi=1497332761","1497332761")</f>
        <v>1497332761</v>
      </c>
      <c r="E2736" t="s">
        <v>2759</v>
      </c>
      <c r="F2736" t="s">
        <v>12</v>
      </c>
      <c r="G2736" s="20">
        <v>1</v>
      </c>
      <c r="H2736" t="s">
        <v>139</v>
      </c>
      <c r="I2736" t="s">
        <v>32</v>
      </c>
      <c r="J2736" s="9"/>
      <c r="K2736" s="9"/>
      <c r="L2736" s="9"/>
    </row>
    <row r="2737" spans="2:12" ht="15" x14ac:dyDescent="0.25">
      <c r="B2737" t="s">
        <v>2102</v>
      </c>
      <c r="C2737" t="s">
        <v>2103</v>
      </c>
      <c r="D2737" t="str">
        <f>HYPERLINK("https://rhld.insurance.arkansas.gov/NPILookup?Npi=1497363444","1497363444")</f>
        <v>1497363444</v>
      </c>
      <c r="E2737" t="s">
        <v>2760</v>
      </c>
      <c r="F2737" t="s">
        <v>12</v>
      </c>
      <c r="G2737" s="20">
        <v>1</v>
      </c>
      <c r="H2737" t="s">
        <v>4349</v>
      </c>
      <c r="I2737" t="s">
        <v>4357</v>
      </c>
      <c r="J2737" s="9"/>
      <c r="K2737" s="9"/>
      <c r="L2737" s="9"/>
    </row>
    <row r="2738" spans="2:12" ht="15" x14ac:dyDescent="0.25">
      <c r="B2738" t="s">
        <v>2102</v>
      </c>
      <c r="C2738" t="s">
        <v>2103</v>
      </c>
      <c r="D2738" t="str">
        <f>HYPERLINK("https://rhld.insurance.arkansas.gov/NPILookup?Npi=1497376107","1497376107")</f>
        <v>1497376107</v>
      </c>
      <c r="E2738" t="s">
        <v>2761</v>
      </c>
      <c r="F2738" t="s">
        <v>12</v>
      </c>
      <c r="G2738" s="20">
        <v>1</v>
      </c>
      <c r="H2738" t="s">
        <v>4338</v>
      </c>
      <c r="I2738" t="s">
        <v>32</v>
      </c>
      <c r="J2738" s="9"/>
      <c r="K2738" s="9"/>
      <c r="L2738" s="9"/>
    </row>
    <row r="2739" spans="2:12" ht="15" x14ac:dyDescent="0.25">
      <c r="B2739" t="s">
        <v>2102</v>
      </c>
      <c r="C2739" t="s">
        <v>2103</v>
      </c>
      <c r="D2739" t="str">
        <f>HYPERLINK("https://rhld.insurance.arkansas.gov/NPILookup?Npi=1497385009","1497385009")</f>
        <v>1497385009</v>
      </c>
      <c r="E2739" t="s">
        <v>2762</v>
      </c>
      <c r="F2739" t="s">
        <v>12</v>
      </c>
      <c r="G2739" s="20">
        <v>1</v>
      </c>
      <c r="H2739" t="s">
        <v>4338</v>
      </c>
      <c r="I2739" t="s">
        <v>32</v>
      </c>
      <c r="J2739" s="9"/>
      <c r="K2739" s="9"/>
      <c r="L2739" s="9"/>
    </row>
    <row r="2740" spans="2:12" ht="15" x14ac:dyDescent="0.25">
      <c r="B2740" t="s">
        <v>2102</v>
      </c>
      <c r="C2740" t="s">
        <v>2103</v>
      </c>
      <c r="D2740" t="str">
        <f>HYPERLINK("https://rhld.insurance.arkansas.gov/NPILookup?Npi=1497415277","1497415277")</f>
        <v>1497415277</v>
      </c>
      <c r="E2740" t="s">
        <v>2763</v>
      </c>
      <c r="F2740" t="s">
        <v>12</v>
      </c>
      <c r="G2740" s="20">
        <v>1</v>
      </c>
      <c r="H2740" t="s">
        <v>4338</v>
      </c>
      <c r="I2740" t="s">
        <v>32</v>
      </c>
      <c r="J2740" s="9"/>
      <c r="K2740" s="9"/>
      <c r="L2740" s="9"/>
    </row>
    <row r="2741" spans="2:12" ht="15" x14ac:dyDescent="0.25">
      <c r="B2741" t="s">
        <v>2102</v>
      </c>
      <c r="C2741" t="s">
        <v>2103</v>
      </c>
      <c r="D2741" t="str">
        <f>HYPERLINK("https://rhld.insurance.arkansas.gov/NPILookup?Npi=1497446975","1497446975")</f>
        <v>1497446975</v>
      </c>
      <c r="E2741" t="s">
        <v>2764</v>
      </c>
      <c r="F2741" t="s">
        <v>12</v>
      </c>
      <c r="G2741" s="20">
        <v>1</v>
      </c>
      <c r="H2741" t="s">
        <v>4338</v>
      </c>
      <c r="I2741" t="s">
        <v>32</v>
      </c>
      <c r="J2741" s="9"/>
      <c r="K2741" s="9"/>
      <c r="L2741" s="9"/>
    </row>
    <row r="2742" spans="2:12" ht="15" x14ac:dyDescent="0.25">
      <c r="B2742" t="s">
        <v>2102</v>
      </c>
      <c r="C2742" t="s">
        <v>2103</v>
      </c>
      <c r="D2742" t="str">
        <f>HYPERLINK("https://rhld.insurance.arkansas.gov/NPILookup?Npi=1497493290","1497493290")</f>
        <v>1497493290</v>
      </c>
      <c r="E2742" t="s">
        <v>2765</v>
      </c>
      <c r="F2742" t="s">
        <v>13</v>
      </c>
      <c r="G2742" s="20">
        <v>1</v>
      </c>
      <c r="H2742" t="s">
        <v>4357</v>
      </c>
      <c r="I2742" t="s">
        <v>4357</v>
      </c>
      <c r="J2742" s="9"/>
      <c r="K2742" s="9"/>
      <c r="L2742" s="9"/>
    </row>
    <row r="2743" spans="2:12" ht="15" x14ac:dyDescent="0.25">
      <c r="B2743" t="s">
        <v>2102</v>
      </c>
      <c r="C2743" t="s">
        <v>2103</v>
      </c>
      <c r="D2743" t="str">
        <f>HYPERLINK("https://rhld.insurance.arkansas.gov/NPILookup?Npi=1497562326","1497562326")</f>
        <v>1497562326</v>
      </c>
      <c r="E2743" t="s">
        <v>2766</v>
      </c>
      <c r="F2743" t="s">
        <v>13</v>
      </c>
      <c r="G2743" s="20">
        <v>1</v>
      </c>
      <c r="H2743" t="s">
        <v>4357</v>
      </c>
      <c r="I2743" t="s">
        <v>4357</v>
      </c>
      <c r="J2743" s="9"/>
      <c r="K2743" s="9"/>
      <c r="L2743" s="9"/>
    </row>
    <row r="2744" spans="2:12" ht="15" x14ac:dyDescent="0.25">
      <c r="B2744" t="s">
        <v>2102</v>
      </c>
      <c r="C2744" t="s">
        <v>2103</v>
      </c>
      <c r="D2744" t="str">
        <f>HYPERLINK("https://rhld.insurance.arkansas.gov/NPILookup?Npi=1497564538","1497564538")</f>
        <v>1497564538</v>
      </c>
      <c r="E2744" t="s">
        <v>2767</v>
      </c>
      <c r="F2744" t="s">
        <v>13</v>
      </c>
      <c r="G2744" s="20">
        <v>1</v>
      </c>
      <c r="H2744" t="s">
        <v>4357</v>
      </c>
      <c r="I2744" t="s">
        <v>4357</v>
      </c>
      <c r="J2744" s="9"/>
      <c r="K2744" s="9"/>
      <c r="L2744" s="9"/>
    </row>
    <row r="2745" spans="2:12" ht="15" x14ac:dyDescent="0.25">
      <c r="B2745" t="s">
        <v>2102</v>
      </c>
      <c r="C2745" t="s">
        <v>2103</v>
      </c>
      <c r="D2745" t="str">
        <f>HYPERLINK("https://rhld.insurance.arkansas.gov/NPILookup?Npi=1497986368","1497986368")</f>
        <v>1497986368</v>
      </c>
      <c r="E2745" t="s">
        <v>2770</v>
      </c>
      <c r="F2745" t="s">
        <v>12</v>
      </c>
      <c r="G2745" s="20">
        <v>1</v>
      </c>
      <c r="H2745" t="s">
        <v>4349</v>
      </c>
      <c r="I2745" t="s">
        <v>32</v>
      </c>
      <c r="J2745" s="9"/>
      <c r="K2745" s="9"/>
      <c r="L2745" s="9"/>
    </row>
    <row r="2746" spans="2:12" ht="15" x14ac:dyDescent="0.25">
      <c r="B2746" t="s">
        <v>2102</v>
      </c>
      <c r="C2746" t="s">
        <v>2103</v>
      </c>
      <c r="D2746" t="str">
        <f>HYPERLINK("https://rhld.insurance.arkansas.gov/NPILookup?Npi=1508038597","1508038597")</f>
        <v>1508038597</v>
      </c>
      <c r="E2746" t="s">
        <v>114</v>
      </c>
      <c r="F2746" t="s">
        <v>12</v>
      </c>
      <c r="G2746" s="20">
        <v>1</v>
      </c>
      <c r="H2746" t="s">
        <v>4349</v>
      </c>
      <c r="I2746" t="s">
        <v>32</v>
      </c>
      <c r="J2746" s="9"/>
      <c r="K2746" s="9"/>
      <c r="L2746" s="9"/>
    </row>
    <row r="2747" spans="2:12" ht="15" x14ac:dyDescent="0.25">
      <c r="B2747" t="s">
        <v>2102</v>
      </c>
      <c r="C2747" t="s">
        <v>2103</v>
      </c>
      <c r="D2747" t="str">
        <f>HYPERLINK("https://rhld.insurance.arkansas.gov/NPILookup?Npi=1508099367","1508099367")</f>
        <v>1508099367</v>
      </c>
      <c r="E2747" t="s">
        <v>2771</v>
      </c>
      <c r="F2747" t="s">
        <v>13</v>
      </c>
      <c r="G2747" s="20">
        <v>1</v>
      </c>
      <c r="H2747" t="s">
        <v>87</v>
      </c>
      <c r="I2747" t="s">
        <v>4357</v>
      </c>
      <c r="J2747" s="9"/>
      <c r="K2747" s="9"/>
      <c r="L2747" s="9"/>
    </row>
    <row r="2748" spans="2:12" ht="15" x14ac:dyDescent="0.25">
      <c r="B2748" t="s">
        <v>2102</v>
      </c>
      <c r="C2748" t="s">
        <v>2103</v>
      </c>
      <c r="D2748" t="str">
        <f>HYPERLINK("https://rhld.insurance.arkansas.gov/NPILookup?Npi=1508216300","1508216300")</f>
        <v>1508216300</v>
      </c>
      <c r="E2748" t="s">
        <v>2772</v>
      </c>
      <c r="F2748" t="s">
        <v>12</v>
      </c>
      <c r="G2748" s="20">
        <v>1</v>
      </c>
      <c r="H2748" t="s">
        <v>4338</v>
      </c>
      <c r="I2748" t="s">
        <v>32</v>
      </c>
      <c r="J2748" s="9"/>
      <c r="K2748" s="9"/>
      <c r="L2748" s="9"/>
    </row>
    <row r="2749" spans="2:12" ht="15" x14ac:dyDescent="0.25">
      <c r="B2749" t="s">
        <v>2102</v>
      </c>
      <c r="C2749" t="s">
        <v>2103</v>
      </c>
      <c r="D2749" t="str">
        <f>HYPERLINK("https://rhld.insurance.arkansas.gov/NPILookup?Npi=1508236027","1508236027")</f>
        <v>1508236027</v>
      </c>
      <c r="E2749" t="s">
        <v>1717</v>
      </c>
      <c r="F2749" t="s">
        <v>12</v>
      </c>
      <c r="G2749" s="20">
        <v>1</v>
      </c>
      <c r="H2749" t="s">
        <v>139</v>
      </c>
      <c r="I2749" t="s">
        <v>32</v>
      </c>
      <c r="J2749" s="9"/>
      <c r="K2749" s="9"/>
      <c r="L2749" s="9"/>
    </row>
    <row r="2750" spans="2:12" ht="15" x14ac:dyDescent="0.25">
      <c r="B2750" t="s">
        <v>2102</v>
      </c>
      <c r="C2750" t="s">
        <v>2103</v>
      </c>
      <c r="D2750" t="str">
        <f>HYPERLINK("https://rhld.insurance.arkansas.gov/NPILookup?Npi=1508276932","1508276932")</f>
        <v>1508276932</v>
      </c>
      <c r="E2750" t="s">
        <v>4560</v>
      </c>
      <c r="F2750" t="s">
        <v>12</v>
      </c>
      <c r="G2750" s="20">
        <v>1</v>
      </c>
      <c r="H2750" t="s">
        <v>4349</v>
      </c>
      <c r="I2750" t="s">
        <v>32</v>
      </c>
      <c r="J2750" s="9"/>
      <c r="K2750" s="9"/>
      <c r="L2750" s="9"/>
    </row>
    <row r="2751" spans="2:12" ht="15" x14ac:dyDescent="0.25">
      <c r="B2751" t="s">
        <v>2102</v>
      </c>
      <c r="C2751" t="s">
        <v>2103</v>
      </c>
      <c r="D2751" t="str">
        <f>HYPERLINK("https://rhld.insurance.arkansas.gov/NPILookup?Npi=1508362989","1508362989")</f>
        <v>1508362989</v>
      </c>
      <c r="E2751" t="s">
        <v>2773</v>
      </c>
      <c r="F2751" t="s">
        <v>12</v>
      </c>
      <c r="G2751" s="20">
        <v>1</v>
      </c>
      <c r="H2751" t="s">
        <v>4349</v>
      </c>
      <c r="I2751" t="s">
        <v>4357</v>
      </c>
      <c r="J2751" s="9"/>
      <c r="K2751" s="9"/>
      <c r="L2751" s="9"/>
    </row>
    <row r="2752" spans="2:12" ht="15" x14ac:dyDescent="0.25">
      <c r="B2752" t="s">
        <v>2102</v>
      </c>
      <c r="C2752" t="s">
        <v>2103</v>
      </c>
      <c r="D2752" t="str">
        <f>HYPERLINK("https://rhld.insurance.arkansas.gov/NPILookup?Npi=1508377094","1508377094")</f>
        <v>1508377094</v>
      </c>
      <c r="E2752" t="s">
        <v>2774</v>
      </c>
      <c r="F2752" t="s">
        <v>13</v>
      </c>
      <c r="G2752" s="20">
        <v>1</v>
      </c>
      <c r="H2752" t="s">
        <v>4357</v>
      </c>
      <c r="I2752" t="s">
        <v>4357</v>
      </c>
      <c r="J2752" s="9"/>
      <c r="K2752" s="9"/>
      <c r="L2752" s="9"/>
    </row>
    <row r="2753" spans="2:12" ht="15" x14ac:dyDescent="0.25">
      <c r="B2753" t="s">
        <v>2102</v>
      </c>
      <c r="C2753" t="s">
        <v>2103</v>
      </c>
      <c r="D2753" t="str">
        <f>HYPERLINK("https://rhld.insurance.arkansas.gov/NPILookup?Npi=1508439456","1508439456")</f>
        <v>1508439456</v>
      </c>
      <c r="E2753" t="s">
        <v>2775</v>
      </c>
      <c r="F2753" t="s">
        <v>12</v>
      </c>
      <c r="G2753" s="20">
        <v>1</v>
      </c>
      <c r="H2753" t="s">
        <v>4338</v>
      </c>
      <c r="I2753" t="s">
        <v>32</v>
      </c>
      <c r="J2753" s="9"/>
      <c r="K2753" s="9"/>
      <c r="L2753" s="9"/>
    </row>
    <row r="2754" spans="2:12" ht="15" x14ac:dyDescent="0.25">
      <c r="B2754" t="s">
        <v>2102</v>
      </c>
      <c r="C2754" t="s">
        <v>2103</v>
      </c>
      <c r="D2754" t="str">
        <f>HYPERLINK("https://rhld.insurance.arkansas.gov/NPILookup?Npi=1508477563","1508477563")</f>
        <v>1508477563</v>
      </c>
      <c r="E2754" t="s">
        <v>1134</v>
      </c>
      <c r="F2754" t="s">
        <v>13</v>
      </c>
      <c r="G2754" s="20">
        <v>1</v>
      </c>
      <c r="H2754" t="s">
        <v>4357</v>
      </c>
      <c r="I2754" t="s">
        <v>4357</v>
      </c>
      <c r="J2754" s="9"/>
      <c r="K2754" s="9"/>
      <c r="L2754" s="9"/>
    </row>
    <row r="2755" spans="2:12" ht="15" x14ac:dyDescent="0.25">
      <c r="B2755" t="s">
        <v>2102</v>
      </c>
      <c r="C2755" t="s">
        <v>2103</v>
      </c>
      <c r="D2755" t="str">
        <f>HYPERLINK("https://rhld.insurance.arkansas.gov/NPILookup?Npi=1508478066","1508478066")</f>
        <v>1508478066</v>
      </c>
      <c r="E2755" t="s">
        <v>2777</v>
      </c>
      <c r="F2755" t="s">
        <v>12</v>
      </c>
      <c r="G2755" s="20">
        <v>1</v>
      </c>
      <c r="H2755" t="s">
        <v>4338</v>
      </c>
      <c r="I2755" t="s">
        <v>32</v>
      </c>
      <c r="J2755" s="9"/>
      <c r="K2755" s="9"/>
      <c r="L2755" s="9"/>
    </row>
    <row r="2756" spans="2:12" ht="15" x14ac:dyDescent="0.25">
      <c r="B2756" t="s">
        <v>2102</v>
      </c>
      <c r="C2756" t="s">
        <v>2103</v>
      </c>
      <c r="D2756" t="str">
        <f>HYPERLINK("https://rhld.insurance.arkansas.gov/NPILookup?Npi=1508487042","1508487042")</f>
        <v>1508487042</v>
      </c>
      <c r="E2756" t="s">
        <v>2778</v>
      </c>
      <c r="F2756" t="s">
        <v>12</v>
      </c>
      <c r="G2756" s="20">
        <v>1</v>
      </c>
      <c r="H2756" t="s">
        <v>4338</v>
      </c>
      <c r="I2756" t="s">
        <v>32</v>
      </c>
      <c r="J2756" s="9"/>
      <c r="K2756" s="9"/>
      <c r="L2756" s="9"/>
    </row>
    <row r="2757" spans="2:12" ht="15" x14ac:dyDescent="0.25">
      <c r="B2757" t="s">
        <v>2102</v>
      </c>
      <c r="C2757" t="s">
        <v>2103</v>
      </c>
      <c r="D2757" t="str">
        <f>HYPERLINK("https://rhld.insurance.arkansas.gov/NPILookup?Npi=1508509092","1508509092")</f>
        <v>1508509092</v>
      </c>
      <c r="E2757" t="s">
        <v>2779</v>
      </c>
      <c r="F2757" t="s">
        <v>13</v>
      </c>
      <c r="G2757" s="20">
        <v>1</v>
      </c>
      <c r="H2757" t="s">
        <v>4357</v>
      </c>
      <c r="I2757" t="s">
        <v>4357</v>
      </c>
      <c r="J2757" s="9"/>
      <c r="K2757" s="9"/>
      <c r="L2757" s="9"/>
    </row>
    <row r="2758" spans="2:12" ht="15" x14ac:dyDescent="0.25">
      <c r="B2758" t="s">
        <v>2102</v>
      </c>
      <c r="C2758" t="s">
        <v>2103</v>
      </c>
      <c r="D2758" t="str">
        <f>HYPERLINK("https://rhld.insurance.arkansas.gov/NPILookup?Npi=1508547787","1508547787")</f>
        <v>1508547787</v>
      </c>
      <c r="E2758" t="s">
        <v>2780</v>
      </c>
      <c r="F2758" t="s">
        <v>13</v>
      </c>
      <c r="G2758" s="20">
        <v>2</v>
      </c>
      <c r="H2758" t="s">
        <v>439</v>
      </c>
      <c r="I2758" t="s">
        <v>4357</v>
      </c>
      <c r="J2758" s="9"/>
      <c r="K2758" s="9"/>
      <c r="L2758" s="9"/>
    </row>
    <row r="2759" spans="2:12" ht="15" x14ac:dyDescent="0.25">
      <c r="B2759" t="s">
        <v>2102</v>
      </c>
      <c r="C2759" t="s">
        <v>2103</v>
      </c>
      <c r="D2759" t="str">
        <f>HYPERLINK("https://rhld.insurance.arkansas.gov/NPILookup?Npi=1508564386","1508564386")</f>
        <v>1508564386</v>
      </c>
      <c r="E2759" t="s">
        <v>2077</v>
      </c>
      <c r="F2759" t="s">
        <v>13</v>
      </c>
      <c r="G2759" s="20">
        <v>1</v>
      </c>
      <c r="H2759" t="s">
        <v>4357</v>
      </c>
      <c r="I2759" t="s">
        <v>4357</v>
      </c>
      <c r="J2759" s="9"/>
      <c r="K2759" s="9"/>
      <c r="L2759" s="9"/>
    </row>
    <row r="2760" spans="2:12" ht="15" x14ac:dyDescent="0.25">
      <c r="B2760" t="s">
        <v>2102</v>
      </c>
      <c r="C2760" t="s">
        <v>2103</v>
      </c>
      <c r="D2760" t="str">
        <f>HYPERLINK("https://rhld.insurance.arkansas.gov/NPILookup?Npi=1508599622","1508599622")</f>
        <v>1508599622</v>
      </c>
      <c r="E2760" t="s">
        <v>2078</v>
      </c>
      <c r="F2760" t="s">
        <v>13</v>
      </c>
      <c r="G2760" s="20">
        <v>1</v>
      </c>
      <c r="H2760" t="s">
        <v>4357</v>
      </c>
      <c r="I2760" t="s">
        <v>4357</v>
      </c>
      <c r="J2760" s="9"/>
      <c r="K2760" s="9"/>
      <c r="L2760" s="9"/>
    </row>
    <row r="2761" spans="2:12" ht="15" x14ac:dyDescent="0.25">
      <c r="B2761" t="s">
        <v>2102</v>
      </c>
      <c r="C2761" t="s">
        <v>2103</v>
      </c>
      <c r="D2761" t="str">
        <f>HYPERLINK("https://rhld.insurance.arkansas.gov/NPILookup?Npi=1508617549","1508617549")</f>
        <v>1508617549</v>
      </c>
      <c r="E2761" t="s">
        <v>2079</v>
      </c>
      <c r="F2761" t="s">
        <v>13</v>
      </c>
      <c r="G2761" s="20">
        <v>1</v>
      </c>
      <c r="H2761" t="s">
        <v>4357</v>
      </c>
      <c r="I2761" t="s">
        <v>4357</v>
      </c>
      <c r="J2761" s="9"/>
      <c r="K2761" s="9"/>
      <c r="L2761" s="9"/>
    </row>
    <row r="2762" spans="2:12" ht="15" x14ac:dyDescent="0.25">
      <c r="B2762" t="s">
        <v>2102</v>
      </c>
      <c r="C2762" t="s">
        <v>2103</v>
      </c>
      <c r="D2762" t="str">
        <f>HYPERLINK("https://rhld.insurance.arkansas.gov/NPILookup?Npi=1508644402","1508644402")</f>
        <v>1508644402</v>
      </c>
      <c r="E2762" t="s">
        <v>2781</v>
      </c>
      <c r="F2762" t="s">
        <v>12</v>
      </c>
      <c r="G2762" s="20">
        <v>1</v>
      </c>
      <c r="H2762" t="s">
        <v>139</v>
      </c>
      <c r="I2762" t="s">
        <v>32</v>
      </c>
      <c r="J2762" s="9"/>
      <c r="K2762" s="9"/>
      <c r="L2762" s="9"/>
    </row>
    <row r="2763" spans="2:12" ht="15" x14ac:dyDescent="0.25">
      <c r="B2763" t="s">
        <v>2102</v>
      </c>
      <c r="C2763" t="s">
        <v>2103</v>
      </c>
      <c r="D2763" t="str">
        <f>HYPERLINK("https://rhld.insurance.arkansas.gov/NPILookup?Npi=1508825647","1508825647")</f>
        <v>1508825647</v>
      </c>
      <c r="E2763" t="s">
        <v>4561</v>
      </c>
      <c r="F2763" t="s">
        <v>12</v>
      </c>
      <c r="G2763" s="20">
        <v>1</v>
      </c>
      <c r="H2763" t="s">
        <v>4349</v>
      </c>
      <c r="I2763" t="s">
        <v>32</v>
      </c>
      <c r="J2763" s="9"/>
      <c r="K2763" s="9"/>
      <c r="L2763" s="9"/>
    </row>
    <row r="2764" spans="2:12" ht="15" x14ac:dyDescent="0.25">
      <c r="B2764" t="s">
        <v>2102</v>
      </c>
      <c r="C2764" t="s">
        <v>2103</v>
      </c>
      <c r="D2764" t="str">
        <f>HYPERLINK("https://rhld.insurance.arkansas.gov/NPILookup?Npi=1508863267","1508863267")</f>
        <v>1508863267</v>
      </c>
      <c r="E2764" t="s">
        <v>659</v>
      </c>
      <c r="F2764" t="s">
        <v>12</v>
      </c>
      <c r="G2764" s="20">
        <v>1</v>
      </c>
      <c r="H2764" t="s">
        <v>141</v>
      </c>
      <c r="I2764" t="s">
        <v>32</v>
      </c>
      <c r="J2764" s="9"/>
      <c r="K2764" s="9"/>
      <c r="L2764" s="9"/>
    </row>
    <row r="2765" spans="2:12" ht="15" x14ac:dyDescent="0.25">
      <c r="B2765" t="s">
        <v>2102</v>
      </c>
      <c r="C2765" t="s">
        <v>2103</v>
      </c>
      <c r="D2765" t="str">
        <f>HYPERLINK("https://rhld.insurance.arkansas.gov/NPILookup?Npi=1508895988","1508895988")</f>
        <v>1508895988</v>
      </c>
      <c r="E2765" t="s">
        <v>2782</v>
      </c>
      <c r="F2765" t="s">
        <v>12</v>
      </c>
      <c r="G2765" s="20">
        <v>1</v>
      </c>
      <c r="H2765" t="s">
        <v>4338</v>
      </c>
      <c r="I2765" t="s">
        <v>32</v>
      </c>
      <c r="J2765" s="9"/>
      <c r="K2765" s="9"/>
      <c r="L2765" s="9"/>
    </row>
    <row r="2766" spans="2:12" ht="15" x14ac:dyDescent="0.25">
      <c r="B2766" t="s">
        <v>2102</v>
      </c>
      <c r="C2766" t="s">
        <v>2103</v>
      </c>
      <c r="D2766" t="str">
        <f>HYPERLINK("https://rhld.insurance.arkansas.gov/NPILookup?Npi=1518181767","1518181767")</f>
        <v>1518181767</v>
      </c>
      <c r="E2766" t="s">
        <v>2783</v>
      </c>
      <c r="F2766" t="s">
        <v>12</v>
      </c>
      <c r="G2766" s="20">
        <v>1</v>
      </c>
      <c r="H2766" t="s">
        <v>4349</v>
      </c>
      <c r="I2766" t="s">
        <v>32</v>
      </c>
      <c r="J2766" s="9"/>
      <c r="K2766" s="9"/>
      <c r="L2766" s="9"/>
    </row>
    <row r="2767" spans="2:12" ht="15" x14ac:dyDescent="0.25">
      <c r="B2767" t="s">
        <v>2102</v>
      </c>
      <c r="C2767" t="s">
        <v>2103</v>
      </c>
      <c r="D2767" t="str">
        <f>HYPERLINK("https://rhld.insurance.arkansas.gov/NPILookup?Npi=1518220862","1518220862")</f>
        <v>1518220862</v>
      </c>
      <c r="E2767" t="s">
        <v>2784</v>
      </c>
      <c r="F2767" t="s">
        <v>12</v>
      </c>
      <c r="G2767" s="20">
        <v>1</v>
      </c>
      <c r="H2767" t="s">
        <v>4338</v>
      </c>
      <c r="I2767" t="s">
        <v>32</v>
      </c>
      <c r="J2767" s="9"/>
      <c r="K2767" s="9"/>
      <c r="L2767" s="9"/>
    </row>
    <row r="2768" spans="2:12" ht="15" x14ac:dyDescent="0.25">
      <c r="B2768" t="s">
        <v>2102</v>
      </c>
      <c r="C2768" t="s">
        <v>2103</v>
      </c>
      <c r="D2768" t="str">
        <f>HYPERLINK("https://rhld.insurance.arkansas.gov/NPILookup?Npi=1518225762","1518225762")</f>
        <v>1518225762</v>
      </c>
      <c r="E2768" t="s">
        <v>116</v>
      </c>
      <c r="F2768" t="s">
        <v>12</v>
      </c>
      <c r="G2768" s="20">
        <v>1</v>
      </c>
      <c r="H2768" t="s">
        <v>4349</v>
      </c>
      <c r="I2768" t="s">
        <v>32</v>
      </c>
      <c r="J2768" s="9"/>
      <c r="K2768" s="9"/>
      <c r="L2768" s="9"/>
    </row>
    <row r="2769" spans="2:12" ht="15" x14ac:dyDescent="0.25">
      <c r="B2769" t="s">
        <v>2102</v>
      </c>
      <c r="C2769" t="s">
        <v>2103</v>
      </c>
      <c r="D2769" t="str">
        <f>HYPERLINK("https://rhld.insurance.arkansas.gov/NPILookup?Npi=1518348549","1518348549")</f>
        <v>1518348549</v>
      </c>
      <c r="E2769" t="s">
        <v>2786</v>
      </c>
      <c r="F2769" t="s">
        <v>12</v>
      </c>
      <c r="G2769" s="20">
        <v>1</v>
      </c>
      <c r="H2769" t="s">
        <v>4349</v>
      </c>
      <c r="I2769" t="s">
        <v>32</v>
      </c>
      <c r="J2769" s="9"/>
      <c r="K2769" s="9"/>
      <c r="L2769" s="9"/>
    </row>
    <row r="2770" spans="2:12" ht="15" x14ac:dyDescent="0.25">
      <c r="B2770" t="s">
        <v>2102</v>
      </c>
      <c r="C2770" t="s">
        <v>2103</v>
      </c>
      <c r="D2770" t="str">
        <f>HYPERLINK("https://rhld.insurance.arkansas.gov/NPILookup?Npi=1518434745","1518434745")</f>
        <v>1518434745</v>
      </c>
      <c r="E2770" t="s">
        <v>2787</v>
      </c>
      <c r="F2770" t="s">
        <v>12</v>
      </c>
      <c r="G2770" s="20">
        <v>1</v>
      </c>
      <c r="H2770" t="s">
        <v>4338</v>
      </c>
      <c r="I2770" t="s">
        <v>32</v>
      </c>
      <c r="J2770" s="9"/>
      <c r="K2770" s="9"/>
      <c r="L2770" s="9"/>
    </row>
    <row r="2771" spans="2:12" ht="15" x14ac:dyDescent="0.25">
      <c r="B2771" t="s">
        <v>2102</v>
      </c>
      <c r="C2771" t="s">
        <v>2103</v>
      </c>
      <c r="D2771" t="str">
        <f>HYPERLINK("https://rhld.insurance.arkansas.gov/NPILookup?Npi=1518443415","1518443415")</f>
        <v>1518443415</v>
      </c>
      <c r="E2771" t="s">
        <v>2788</v>
      </c>
      <c r="F2771" t="s">
        <v>13</v>
      </c>
      <c r="G2771" s="20">
        <v>1</v>
      </c>
      <c r="H2771" t="s">
        <v>4357</v>
      </c>
      <c r="I2771" t="s">
        <v>4357</v>
      </c>
      <c r="J2771" s="9"/>
      <c r="K2771" s="9"/>
      <c r="L2771" s="9"/>
    </row>
    <row r="2772" spans="2:12" ht="15" x14ac:dyDescent="0.25">
      <c r="B2772" t="s">
        <v>2102</v>
      </c>
      <c r="C2772" t="s">
        <v>2103</v>
      </c>
      <c r="D2772" t="str">
        <f>HYPERLINK("https://rhld.insurance.arkansas.gov/NPILookup?Npi=1518469782","1518469782")</f>
        <v>1518469782</v>
      </c>
      <c r="E2772" t="s">
        <v>2789</v>
      </c>
      <c r="F2772" t="s">
        <v>12</v>
      </c>
      <c r="G2772" s="20">
        <v>1</v>
      </c>
      <c r="H2772" t="s">
        <v>4349</v>
      </c>
      <c r="I2772" t="s">
        <v>4357</v>
      </c>
      <c r="J2772" s="9"/>
      <c r="K2772" s="9"/>
      <c r="L2772" s="9"/>
    </row>
    <row r="2773" spans="2:12" ht="15" x14ac:dyDescent="0.25">
      <c r="B2773" t="s">
        <v>2102</v>
      </c>
      <c r="C2773" t="s">
        <v>2103</v>
      </c>
      <c r="D2773" t="str">
        <f>HYPERLINK("https://rhld.insurance.arkansas.gov/NPILookup?Npi=1518489954","1518489954")</f>
        <v>1518489954</v>
      </c>
      <c r="E2773" t="s">
        <v>2790</v>
      </c>
      <c r="F2773" t="s">
        <v>12</v>
      </c>
      <c r="G2773" s="20">
        <v>1</v>
      </c>
      <c r="H2773" t="s">
        <v>4349</v>
      </c>
      <c r="I2773" t="s">
        <v>32</v>
      </c>
      <c r="J2773" s="9"/>
      <c r="K2773" s="9"/>
      <c r="L2773" s="9"/>
    </row>
    <row r="2774" spans="2:12" ht="15" x14ac:dyDescent="0.25">
      <c r="B2774" t="s">
        <v>2102</v>
      </c>
      <c r="C2774" t="s">
        <v>2103</v>
      </c>
      <c r="D2774" t="str">
        <f>HYPERLINK("https://rhld.insurance.arkansas.gov/NPILookup?Npi=1518490648","1518490648")</f>
        <v>1518490648</v>
      </c>
      <c r="E2774" t="s">
        <v>2791</v>
      </c>
      <c r="F2774" t="s">
        <v>12</v>
      </c>
      <c r="G2774" s="20">
        <v>1</v>
      </c>
      <c r="H2774" t="s">
        <v>4349</v>
      </c>
      <c r="I2774" t="s">
        <v>32</v>
      </c>
      <c r="J2774" s="9"/>
      <c r="K2774" s="9"/>
      <c r="L2774" s="9"/>
    </row>
    <row r="2775" spans="2:12" ht="15" x14ac:dyDescent="0.25">
      <c r="B2775" t="s">
        <v>2102</v>
      </c>
      <c r="C2775" t="s">
        <v>2103</v>
      </c>
      <c r="D2775" t="str">
        <f>HYPERLINK("https://rhld.insurance.arkansas.gov/NPILookup?Npi=1518490986","1518490986")</f>
        <v>1518490986</v>
      </c>
      <c r="E2775" t="s">
        <v>2792</v>
      </c>
      <c r="F2775" t="s">
        <v>12</v>
      </c>
      <c r="G2775" s="20">
        <v>1</v>
      </c>
      <c r="H2775" t="s">
        <v>4349</v>
      </c>
      <c r="I2775" t="s">
        <v>4357</v>
      </c>
      <c r="J2775" s="9"/>
      <c r="K2775" s="9"/>
      <c r="L2775" s="9"/>
    </row>
    <row r="2776" spans="2:12" ht="15" x14ac:dyDescent="0.25">
      <c r="B2776" t="s">
        <v>2102</v>
      </c>
      <c r="C2776" t="s">
        <v>2103</v>
      </c>
      <c r="D2776" t="str">
        <f>HYPERLINK("https://rhld.insurance.arkansas.gov/NPILookup?Npi=1518497825","1518497825")</f>
        <v>1518497825</v>
      </c>
      <c r="E2776" t="s">
        <v>2793</v>
      </c>
      <c r="F2776" t="s">
        <v>12</v>
      </c>
      <c r="G2776" s="20">
        <v>1</v>
      </c>
      <c r="H2776" t="s">
        <v>4349</v>
      </c>
      <c r="I2776" t="s">
        <v>32</v>
      </c>
      <c r="J2776" s="9"/>
      <c r="K2776" s="9"/>
      <c r="L2776" s="9"/>
    </row>
    <row r="2777" spans="2:12" ht="15" x14ac:dyDescent="0.25">
      <c r="B2777" t="s">
        <v>2102</v>
      </c>
      <c r="C2777" t="s">
        <v>2103</v>
      </c>
      <c r="D2777" t="str">
        <f>HYPERLINK("https://rhld.insurance.arkansas.gov/NPILookup?Npi=1518505833","1518505833")</f>
        <v>1518505833</v>
      </c>
      <c r="E2777" t="s">
        <v>2794</v>
      </c>
      <c r="F2777" t="s">
        <v>13</v>
      </c>
      <c r="G2777" s="20">
        <v>1</v>
      </c>
      <c r="H2777" t="s">
        <v>4357</v>
      </c>
      <c r="I2777" t="s">
        <v>4357</v>
      </c>
      <c r="J2777" s="9"/>
      <c r="K2777" s="9"/>
      <c r="L2777" s="9"/>
    </row>
    <row r="2778" spans="2:12" ht="15" x14ac:dyDescent="0.25">
      <c r="B2778" t="s">
        <v>2102</v>
      </c>
      <c r="C2778" t="s">
        <v>2103</v>
      </c>
      <c r="D2778" t="str">
        <f>HYPERLINK("https://rhld.insurance.arkansas.gov/NPILookup?Npi=1518599091","1518599091")</f>
        <v>1518599091</v>
      </c>
      <c r="E2778" t="s">
        <v>2797</v>
      </c>
      <c r="F2778" t="s">
        <v>12</v>
      </c>
      <c r="G2778" s="20">
        <v>1</v>
      </c>
      <c r="H2778" t="s">
        <v>4338</v>
      </c>
      <c r="I2778" t="s">
        <v>32</v>
      </c>
      <c r="J2778" s="9"/>
      <c r="K2778" s="9"/>
      <c r="L2778" s="9"/>
    </row>
    <row r="2779" spans="2:12" ht="15" x14ac:dyDescent="0.25">
      <c r="B2779" t="s">
        <v>2102</v>
      </c>
      <c r="C2779" t="s">
        <v>2103</v>
      </c>
      <c r="D2779" t="str">
        <f>HYPERLINK("https://rhld.insurance.arkansas.gov/NPILookup?Npi=1518965813","1518965813")</f>
        <v>1518965813</v>
      </c>
      <c r="E2779" t="s">
        <v>4562</v>
      </c>
      <c r="F2779" t="s">
        <v>12</v>
      </c>
      <c r="G2779" s="20">
        <v>1</v>
      </c>
      <c r="H2779" t="s">
        <v>4349</v>
      </c>
      <c r="I2779" t="s">
        <v>32</v>
      </c>
      <c r="J2779" s="9"/>
      <c r="K2779" s="9"/>
      <c r="L2779" s="9"/>
    </row>
    <row r="2780" spans="2:12" ht="15" x14ac:dyDescent="0.25">
      <c r="B2780" t="s">
        <v>2102</v>
      </c>
      <c r="C2780" t="s">
        <v>2103</v>
      </c>
      <c r="D2780" t="str">
        <f>HYPERLINK("https://rhld.insurance.arkansas.gov/NPILookup?Npi=1518967611","1518967611")</f>
        <v>1518967611</v>
      </c>
      <c r="E2780" t="s">
        <v>2800</v>
      </c>
      <c r="F2780" t="s">
        <v>12</v>
      </c>
      <c r="G2780" s="20">
        <v>1</v>
      </c>
      <c r="H2780" t="s">
        <v>4349</v>
      </c>
      <c r="I2780" t="s">
        <v>4357</v>
      </c>
      <c r="J2780" s="9"/>
      <c r="K2780" s="9"/>
      <c r="L2780" s="9"/>
    </row>
    <row r="2781" spans="2:12" ht="15" x14ac:dyDescent="0.25">
      <c r="B2781" t="s">
        <v>2102</v>
      </c>
      <c r="C2781" t="s">
        <v>2103</v>
      </c>
      <c r="D2781" t="str">
        <f>HYPERLINK("https://rhld.insurance.arkansas.gov/NPILookup?Npi=1518986959","1518986959")</f>
        <v>1518986959</v>
      </c>
      <c r="E2781" t="s">
        <v>2801</v>
      </c>
      <c r="F2781" t="s">
        <v>12</v>
      </c>
      <c r="G2781" s="20">
        <v>1</v>
      </c>
      <c r="H2781" t="s">
        <v>4349</v>
      </c>
      <c r="I2781" t="s">
        <v>4357</v>
      </c>
      <c r="J2781" s="9"/>
      <c r="K2781" s="9"/>
      <c r="L2781" s="9"/>
    </row>
    <row r="2782" spans="2:12" ht="15" x14ac:dyDescent="0.25">
      <c r="B2782" t="s">
        <v>2102</v>
      </c>
      <c r="C2782" t="s">
        <v>2103</v>
      </c>
      <c r="D2782" t="str">
        <f>HYPERLINK("https://rhld.insurance.arkansas.gov/NPILookup?Npi=1528012010","1528012010")</f>
        <v>1528012010</v>
      </c>
      <c r="E2782" t="s">
        <v>2802</v>
      </c>
      <c r="F2782" t="s">
        <v>12</v>
      </c>
      <c r="G2782" s="20">
        <v>1</v>
      </c>
      <c r="H2782" t="s">
        <v>4349</v>
      </c>
      <c r="I2782" t="s">
        <v>4357</v>
      </c>
      <c r="J2782" s="9"/>
      <c r="K2782" s="9"/>
      <c r="L2782" s="9"/>
    </row>
    <row r="2783" spans="2:12" ht="15" x14ac:dyDescent="0.25">
      <c r="B2783" t="s">
        <v>2102</v>
      </c>
      <c r="C2783" t="s">
        <v>2103</v>
      </c>
      <c r="D2783" t="str">
        <f>HYPERLINK("https://rhld.insurance.arkansas.gov/NPILookup?Npi=1528021649","1528021649")</f>
        <v>1528021649</v>
      </c>
      <c r="E2783" t="s">
        <v>2803</v>
      </c>
      <c r="F2783" t="s">
        <v>12</v>
      </c>
      <c r="G2783" s="20">
        <v>1</v>
      </c>
      <c r="H2783" t="s">
        <v>4338</v>
      </c>
      <c r="I2783" t="s">
        <v>32</v>
      </c>
      <c r="J2783" s="9"/>
      <c r="K2783" s="9"/>
      <c r="L2783" s="9"/>
    </row>
    <row r="2784" spans="2:12" ht="15" x14ac:dyDescent="0.25">
      <c r="B2784" t="s">
        <v>2102</v>
      </c>
      <c r="C2784" t="s">
        <v>2103</v>
      </c>
      <c r="D2784" t="str">
        <f>HYPERLINK("https://rhld.insurance.arkansas.gov/NPILookup?Npi=1528043007","1528043007")</f>
        <v>1528043007</v>
      </c>
      <c r="E2784" t="s">
        <v>2805</v>
      </c>
      <c r="F2784" t="s">
        <v>12</v>
      </c>
      <c r="G2784" s="20">
        <v>1</v>
      </c>
      <c r="H2784" t="s">
        <v>4349</v>
      </c>
      <c r="I2784" t="s">
        <v>4357</v>
      </c>
      <c r="J2784" s="9"/>
      <c r="K2784" s="9"/>
      <c r="L2784" s="9"/>
    </row>
    <row r="2785" spans="2:12" ht="15" x14ac:dyDescent="0.25">
      <c r="B2785" t="s">
        <v>2102</v>
      </c>
      <c r="C2785" t="s">
        <v>2103</v>
      </c>
      <c r="D2785" t="str">
        <f>HYPERLINK("https://rhld.insurance.arkansas.gov/NPILookup?Npi=1528046315","1528046315")</f>
        <v>1528046315</v>
      </c>
      <c r="E2785" t="s">
        <v>2806</v>
      </c>
      <c r="F2785" t="s">
        <v>12</v>
      </c>
      <c r="G2785" s="20">
        <v>1</v>
      </c>
      <c r="H2785" t="s">
        <v>4349</v>
      </c>
      <c r="I2785" t="s">
        <v>32</v>
      </c>
      <c r="J2785" s="9"/>
      <c r="K2785" s="9"/>
      <c r="L2785" s="9"/>
    </row>
    <row r="2786" spans="2:12" ht="15" x14ac:dyDescent="0.25">
      <c r="B2786" t="s">
        <v>2102</v>
      </c>
      <c r="C2786" t="s">
        <v>2103</v>
      </c>
      <c r="D2786" t="str">
        <f>HYPERLINK("https://rhld.insurance.arkansas.gov/NPILookup?Npi=1528066735","1528066735")</f>
        <v>1528066735</v>
      </c>
      <c r="E2786" t="s">
        <v>2807</v>
      </c>
      <c r="F2786" t="s">
        <v>12</v>
      </c>
      <c r="G2786" s="20">
        <v>1</v>
      </c>
      <c r="H2786" t="s">
        <v>4349</v>
      </c>
      <c r="I2786" t="s">
        <v>32</v>
      </c>
      <c r="J2786" s="9"/>
      <c r="K2786" s="9"/>
      <c r="L2786" s="9"/>
    </row>
    <row r="2787" spans="2:12" ht="15" x14ac:dyDescent="0.25">
      <c r="B2787" t="s">
        <v>2102</v>
      </c>
      <c r="C2787" t="s">
        <v>2103</v>
      </c>
      <c r="D2787" t="str">
        <f>HYPERLINK("https://rhld.insurance.arkansas.gov/NPILookup?Npi=1528204989","1528204989")</f>
        <v>1528204989</v>
      </c>
      <c r="E2787" t="s">
        <v>2808</v>
      </c>
      <c r="F2787" t="s">
        <v>13</v>
      </c>
      <c r="G2787" s="20">
        <v>1</v>
      </c>
      <c r="H2787" t="s">
        <v>4357</v>
      </c>
      <c r="I2787" t="s">
        <v>4357</v>
      </c>
      <c r="J2787" s="9"/>
      <c r="K2787" s="9"/>
      <c r="L2787" s="9"/>
    </row>
    <row r="2788" spans="2:12" ht="15" x14ac:dyDescent="0.25">
      <c r="B2788" t="s">
        <v>2102</v>
      </c>
      <c r="C2788" t="s">
        <v>2103</v>
      </c>
      <c r="D2788" t="str">
        <f>HYPERLINK("https://rhld.insurance.arkansas.gov/NPILookup?Npi=1528219854","1528219854")</f>
        <v>1528219854</v>
      </c>
      <c r="E2788" t="s">
        <v>2809</v>
      </c>
      <c r="F2788" t="s">
        <v>12</v>
      </c>
      <c r="G2788" s="20">
        <v>1</v>
      </c>
      <c r="H2788" t="s">
        <v>4338</v>
      </c>
      <c r="I2788" t="s">
        <v>32</v>
      </c>
      <c r="J2788" s="9"/>
      <c r="K2788" s="9"/>
      <c r="L2788" s="9"/>
    </row>
    <row r="2789" spans="2:12" ht="15" x14ac:dyDescent="0.25">
      <c r="B2789" t="s">
        <v>2102</v>
      </c>
      <c r="C2789" t="s">
        <v>2103</v>
      </c>
      <c r="D2789" t="str">
        <f>HYPERLINK("https://rhld.insurance.arkansas.gov/NPILookup?Npi=1528276763","1528276763")</f>
        <v>1528276763</v>
      </c>
      <c r="E2789" t="s">
        <v>4563</v>
      </c>
      <c r="F2789" t="s">
        <v>12</v>
      </c>
      <c r="G2789" s="20">
        <v>1</v>
      </c>
      <c r="H2789" t="s">
        <v>4349</v>
      </c>
      <c r="I2789" t="s">
        <v>4357</v>
      </c>
      <c r="J2789" s="9"/>
      <c r="K2789" s="9"/>
      <c r="L2789" s="9"/>
    </row>
    <row r="2790" spans="2:12" ht="15" x14ac:dyDescent="0.25">
      <c r="B2790" t="s">
        <v>2102</v>
      </c>
      <c r="C2790" t="s">
        <v>2103</v>
      </c>
      <c r="D2790" t="str">
        <f>HYPERLINK("https://rhld.insurance.arkansas.gov/NPILookup?Npi=1528283538","1528283538")</f>
        <v>1528283538</v>
      </c>
      <c r="E2790" t="s">
        <v>2810</v>
      </c>
      <c r="F2790" t="s">
        <v>12</v>
      </c>
      <c r="G2790" s="20">
        <v>1</v>
      </c>
      <c r="H2790" t="s">
        <v>4338</v>
      </c>
      <c r="I2790" t="s">
        <v>32</v>
      </c>
      <c r="J2790" s="9"/>
      <c r="K2790" s="9"/>
      <c r="L2790" s="9"/>
    </row>
    <row r="2791" spans="2:12" ht="15" x14ac:dyDescent="0.25">
      <c r="B2791" t="s">
        <v>2102</v>
      </c>
      <c r="C2791" t="s">
        <v>2103</v>
      </c>
      <c r="D2791" t="str">
        <f>HYPERLINK("https://rhld.insurance.arkansas.gov/NPILookup?Npi=1528306503","1528306503")</f>
        <v>1528306503</v>
      </c>
      <c r="E2791" t="s">
        <v>2811</v>
      </c>
      <c r="F2791" t="s">
        <v>12</v>
      </c>
      <c r="G2791" s="20">
        <v>1</v>
      </c>
      <c r="H2791" t="s">
        <v>4349</v>
      </c>
      <c r="I2791" t="s">
        <v>32</v>
      </c>
      <c r="J2791" s="9"/>
      <c r="K2791" s="9"/>
      <c r="L2791" s="9"/>
    </row>
    <row r="2792" spans="2:12" ht="15" x14ac:dyDescent="0.25">
      <c r="B2792" t="s">
        <v>2102</v>
      </c>
      <c r="C2792" t="s">
        <v>2103</v>
      </c>
      <c r="D2792" t="str">
        <f>HYPERLINK("https://rhld.insurance.arkansas.gov/NPILookup?Npi=1528472289","1528472289")</f>
        <v>1528472289</v>
      </c>
      <c r="E2792" t="s">
        <v>2812</v>
      </c>
      <c r="F2792" t="s">
        <v>12</v>
      </c>
      <c r="G2792" s="20">
        <v>1</v>
      </c>
      <c r="H2792" t="s">
        <v>4338</v>
      </c>
      <c r="I2792" t="s">
        <v>32</v>
      </c>
      <c r="J2792" s="9"/>
      <c r="K2792" s="9"/>
      <c r="L2792" s="9"/>
    </row>
    <row r="2793" spans="2:12" ht="15" x14ac:dyDescent="0.25">
      <c r="B2793" t="s">
        <v>2102</v>
      </c>
      <c r="C2793" t="s">
        <v>2103</v>
      </c>
      <c r="D2793" t="str">
        <f>HYPERLINK("https://rhld.insurance.arkansas.gov/NPILookup?Npi=1528538915","1528538915")</f>
        <v>1528538915</v>
      </c>
      <c r="E2793" t="s">
        <v>2813</v>
      </c>
      <c r="F2793" t="s">
        <v>13</v>
      </c>
      <c r="G2793" s="20">
        <v>1</v>
      </c>
      <c r="H2793" t="s">
        <v>4357</v>
      </c>
      <c r="I2793" t="s">
        <v>4357</v>
      </c>
      <c r="J2793" s="9"/>
      <c r="K2793" s="9"/>
      <c r="L2793" s="9"/>
    </row>
    <row r="2794" spans="2:12" ht="15" x14ac:dyDescent="0.25">
      <c r="B2794" t="s">
        <v>2102</v>
      </c>
      <c r="C2794" t="s">
        <v>2103</v>
      </c>
      <c r="D2794" t="str">
        <f>HYPERLINK("https://rhld.insurance.arkansas.gov/NPILookup?Npi=1528780285","1528780285")</f>
        <v>1528780285</v>
      </c>
      <c r="E2794" t="s">
        <v>2814</v>
      </c>
      <c r="F2794" t="s">
        <v>13</v>
      </c>
      <c r="G2794" s="20">
        <v>1</v>
      </c>
      <c r="H2794" t="s">
        <v>4357</v>
      </c>
      <c r="I2794" t="s">
        <v>4357</v>
      </c>
      <c r="J2794" s="9"/>
      <c r="K2794" s="9"/>
      <c r="L2794" s="9"/>
    </row>
    <row r="2795" spans="2:12" ht="15" x14ac:dyDescent="0.25">
      <c r="B2795" t="s">
        <v>2102</v>
      </c>
      <c r="C2795" t="s">
        <v>2103</v>
      </c>
      <c r="D2795" t="str">
        <f>HYPERLINK("https://rhld.insurance.arkansas.gov/NPILookup?Npi=1528837507","1528837507")</f>
        <v>1528837507</v>
      </c>
      <c r="E2795" t="s">
        <v>2815</v>
      </c>
      <c r="F2795" t="s">
        <v>13</v>
      </c>
      <c r="G2795" s="20">
        <v>1</v>
      </c>
      <c r="H2795" t="s">
        <v>4357</v>
      </c>
      <c r="I2795" t="s">
        <v>4357</v>
      </c>
      <c r="J2795" s="9"/>
      <c r="K2795" s="9"/>
      <c r="L2795" s="9"/>
    </row>
    <row r="2796" spans="2:12" ht="15" x14ac:dyDescent="0.25">
      <c r="B2796" t="s">
        <v>2102</v>
      </c>
      <c r="C2796" t="s">
        <v>2103</v>
      </c>
      <c r="D2796" t="str">
        <f>HYPERLINK("https://rhld.insurance.arkansas.gov/NPILookup?Npi=1528881919","1528881919")</f>
        <v>1528881919</v>
      </c>
      <c r="E2796" t="s">
        <v>2816</v>
      </c>
      <c r="F2796" t="s">
        <v>13</v>
      </c>
      <c r="G2796" s="20">
        <v>1</v>
      </c>
      <c r="H2796" t="s">
        <v>4357</v>
      </c>
      <c r="I2796" t="s">
        <v>4357</v>
      </c>
      <c r="J2796" s="9"/>
      <c r="K2796" s="9"/>
      <c r="L2796" s="9"/>
    </row>
    <row r="2797" spans="2:12" ht="15" x14ac:dyDescent="0.25">
      <c r="B2797" t="s">
        <v>2102</v>
      </c>
      <c r="C2797" t="s">
        <v>2103</v>
      </c>
      <c r="D2797" t="str">
        <f>HYPERLINK("https://rhld.insurance.arkansas.gov/NPILookup?Npi=1528883261","1528883261")</f>
        <v>1528883261</v>
      </c>
      <c r="E2797" t="s">
        <v>2817</v>
      </c>
      <c r="F2797" t="s">
        <v>13</v>
      </c>
      <c r="G2797" s="20">
        <v>1</v>
      </c>
      <c r="H2797" t="s">
        <v>4357</v>
      </c>
      <c r="I2797" t="s">
        <v>4357</v>
      </c>
      <c r="J2797" s="9"/>
      <c r="K2797" s="9"/>
      <c r="L2797" s="9"/>
    </row>
    <row r="2798" spans="2:12" ht="15" x14ac:dyDescent="0.25">
      <c r="B2798" t="s">
        <v>2102</v>
      </c>
      <c r="C2798" t="s">
        <v>2103</v>
      </c>
      <c r="D2798" t="str">
        <f>HYPERLINK("https://rhld.insurance.arkansas.gov/NPILookup?Npi=1538163506","1538163506")</f>
        <v>1538163506</v>
      </c>
      <c r="E2798" t="s">
        <v>678</v>
      </c>
      <c r="F2798" t="s">
        <v>12</v>
      </c>
      <c r="G2798" s="20">
        <v>1</v>
      </c>
      <c r="H2798" t="s">
        <v>4338</v>
      </c>
      <c r="I2798" t="s">
        <v>32</v>
      </c>
      <c r="J2798" s="9"/>
      <c r="K2798" s="9"/>
      <c r="L2798" s="9"/>
    </row>
    <row r="2799" spans="2:12" ht="15" x14ac:dyDescent="0.25">
      <c r="B2799" t="s">
        <v>2102</v>
      </c>
      <c r="C2799" t="s">
        <v>2103</v>
      </c>
      <c r="D2799" t="str">
        <f>HYPERLINK("https://rhld.insurance.arkansas.gov/NPILookup?Npi=1538334800","1538334800")</f>
        <v>1538334800</v>
      </c>
      <c r="E2799" t="s">
        <v>2820</v>
      </c>
      <c r="F2799" t="s">
        <v>12</v>
      </c>
      <c r="G2799" s="20">
        <v>1</v>
      </c>
      <c r="H2799" t="s">
        <v>4349</v>
      </c>
      <c r="I2799" t="s">
        <v>4357</v>
      </c>
      <c r="J2799" s="9"/>
      <c r="K2799" s="9"/>
      <c r="L2799" s="9"/>
    </row>
    <row r="2800" spans="2:12" ht="15" x14ac:dyDescent="0.25">
      <c r="B2800" t="s">
        <v>2102</v>
      </c>
      <c r="C2800" t="s">
        <v>2103</v>
      </c>
      <c r="D2800" t="str">
        <f>HYPERLINK("https://rhld.insurance.arkansas.gov/NPILookup?Npi=1538384623","1538384623")</f>
        <v>1538384623</v>
      </c>
      <c r="E2800" t="s">
        <v>2821</v>
      </c>
      <c r="F2800" t="s">
        <v>12</v>
      </c>
      <c r="G2800" s="20">
        <v>1</v>
      </c>
      <c r="H2800" t="s">
        <v>4338</v>
      </c>
      <c r="I2800" t="s">
        <v>32</v>
      </c>
      <c r="J2800" s="9"/>
      <c r="K2800" s="9"/>
      <c r="L2800" s="9"/>
    </row>
    <row r="2801" spans="2:12" ht="15" x14ac:dyDescent="0.25">
      <c r="B2801" t="s">
        <v>2102</v>
      </c>
      <c r="C2801" t="s">
        <v>2103</v>
      </c>
      <c r="D2801" t="str">
        <f>HYPERLINK("https://rhld.insurance.arkansas.gov/NPILookup?Npi=1538395967","1538395967")</f>
        <v>1538395967</v>
      </c>
      <c r="E2801" t="s">
        <v>2822</v>
      </c>
      <c r="F2801" t="s">
        <v>12</v>
      </c>
      <c r="G2801" s="20">
        <v>1</v>
      </c>
      <c r="H2801" t="s">
        <v>139</v>
      </c>
      <c r="I2801" t="s">
        <v>32</v>
      </c>
      <c r="J2801" s="9"/>
      <c r="K2801" s="9"/>
      <c r="L2801" s="9"/>
    </row>
    <row r="2802" spans="2:12" ht="15" x14ac:dyDescent="0.25">
      <c r="B2802" t="s">
        <v>2102</v>
      </c>
      <c r="C2802" t="s">
        <v>2103</v>
      </c>
      <c r="D2802" t="str">
        <f>HYPERLINK("https://rhld.insurance.arkansas.gov/NPILookup?Npi=1538443791","1538443791")</f>
        <v>1538443791</v>
      </c>
      <c r="E2802" t="s">
        <v>2823</v>
      </c>
      <c r="F2802" t="s">
        <v>12</v>
      </c>
      <c r="G2802" s="20">
        <v>1</v>
      </c>
      <c r="H2802" t="s">
        <v>4349</v>
      </c>
      <c r="I2802" t="s">
        <v>4357</v>
      </c>
      <c r="J2802" s="9"/>
      <c r="K2802" s="9"/>
      <c r="L2802" s="9"/>
    </row>
    <row r="2803" spans="2:12" ht="15" x14ac:dyDescent="0.25">
      <c r="B2803" t="s">
        <v>2102</v>
      </c>
      <c r="C2803" t="s">
        <v>2103</v>
      </c>
      <c r="D2803" t="str">
        <f>HYPERLINK("https://rhld.insurance.arkansas.gov/NPILookup?Npi=1538471701","1538471701")</f>
        <v>1538471701</v>
      </c>
      <c r="E2803" t="s">
        <v>4564</v>
      </c>
      <c r="F2803" t="s">
        <v>12</v>
      </c>
      <c r="G2803" s="20">
        <v>1</v>
      </c>
      <c r="H2803" t="s">
        <v>4349</v>
      </c>
      <c r="I2803" t="s">
        <v>32</v>
      </c>
      <c r="J2803" s="9"/>
      <c r="K2803" s="9"/>
      <c r="L2803" s="9"/>
    </row>
    <row r="2804" spans="2:12" ht="15" x14ac:dyDescent="0.25">
      <c r="B2804" t="s">
        <v>2102</v>
      </c>
      <c r="C2804" t="s">
        <v>2103</v>
      </c>
      <c r="D2804" t="str">
        <f>HYPERLINK("https://rhld.insurance.arkansas.gov/NPILookup?Npi=1538487285","1538487285")</f>
        <v>1538487285</v>
      </c>
      <c r="E2804" t="s">
        <v>2824</v>
      </c>
      <c r="F2804" t="s">
        <v>12</v>
      </c>
      <c r="G2804" s="20">
        <v>1</v>
      </c>
      <c r="H2804" t="s">
        <v>4338</v>
      </c>
      <c r="I2804" t="s">
        <v>32</v>
      </c>
      <c r="J2804" s="9"/>
      <c r="K2804" s="9"/>
      <c r="L2804" s="9"/>
    </row>
    <row r="2805" spans="2:12" ht="15" x14ac:dyDescent="0.25">
      <c r="B2805" t="s">
        <v>2102</v>
      </c>
      <c r="C2805" t="s">
        <v>2103</v>
      </c>
      <c r="D2805" t="str">
        <f>HYPERLINK("https://rhld.insurance.arkansas.gov/NPILookup?Npi=1538504188","1538504188")</f>
        <v>1538504188</v>
      </c>
      <c r="E2805" t="s">
        <v>2825</v>
      </c>
      <c r="F2805" t="s">
        <v>12</v>
      </c>
      <c r="G2805" s="20">
        <v>1</v>
      </c>
      <c r="H2805" t="s">
        <v>4349</v>
      </c>
      <c r="I2805" t="s">
        <v>4357</v>
      </c>
      <c r="J2805" s="9"/>
      <c r="K2805" s="9"/>
      <c r="L2805" s="9"/>
    </row>
    <row r="2806" spans="2:12" ht="15" x14ac:dyDescent="0.25">
      <c r="B2806" t="s">
        <v>2102</v>
      </c>
      <c r="C2806" t="s">
        <v>2103</v>
      </c>
      <c r="D2806" t="str">
        <f>HYPERLINK("https://rhld.insurance.arkansas.gov/NPILookup?Npi=1538514971","1538514971")</f>
        <v>1538514971</v>
      </c>
      <c r="E2806" t="s">
        <v>2826</v>
      </c>
      <c r="F2806" t="s">
        <v>12</v>
      </c>
      <c r="G2806" s="20">
        <v>1</v>
      </c>
      <c r="H2806" t="s">
        <v>4349</v>
      </c>
      <c r="I2806" t="s">
        <v>32</v>
      </c>
      <c r="J2806" s="9"/>
      <c r="K2806" s="9"/>
      <c r="L2806" s="9"/>
    </row>
    <row r="2807" spans="2:12" ht="15" x14ac:dyDescent="0.25">
      <c r="B2807" t="s">
        <v>2102</v>
      </c>
      <c r="C2807" t="s">
        <v>2103</v>
      </c>
      <c r="D2807" t="str">
        <f>HYPERLINK("https://rhld.insurance.arkansas.gov/NPILookup?Npi=1538543632","1538543632")</f>
        <v>1538543632</v>
      </c>
      <c r="E2807" t="s">
        <v>119</v>
      </c>
      <c r="F2807" t="s">
        <v>12</v>
      </c>
      <c r="G2807" s="20">
        <v>1</v>
      </c>
      <c r="H2807" t="s">
        <v>4349</v>
      </c>
      <c r="I2807" t="s">
        <v>32</v>
      </c>
      <c r="J2807" s="9"/>
      <c r="K2807" s="9"/>
      <c r="L2807" s="9"/>
    </row>
    <row r="2808" spans="2:12" ht="15" x14ac:dyDescent="0.25">
      <c r="B2808" t="s">
        <v>2102</v>
      </c>
      <c r="C2808" t="s">
        <v>2103</v>
      </c>
      <c r="D2808" t="str">
        <f>HYPERLINK("https://rhld.insurance.arkansas.gov/NPILookup?Npi=1538797709","1538797709")</f>
        <v>1538797709</v>
      </c>
      <c r="E2808" t="s">
        <v>2827</v>
      </c>
      <c r="F2808" t="s">
        <v>12</v>
      </c>
      <c r="G2808" s="20">
        <v>1</v>
      </c>
      <c r="H2808" t="s">
        <v>4349</v>
      </c>
      <c r="I2808" t="s">
        <v>32</v>
      </c>
      <c r="J2808" s="9"/>
      <c r="K2808" s="9"/>
      <c r="L2808" s="9"/>
    </row>
    <row r="2809" spans="2:12" ht="15" x14ac:dyDescent="0.25">
      <c r="B2809" t="s">
        <v>2102</v>
      </c>
      <c r="C2809" t="s">
        <v>2103</v>
      </c>
      <c r="D2809" t="str">
        <f>HYPERLINK("https://rhld.insurance.arkansas.gov/NPILookup?Npi=1538798988","1538798988")</f>
        <v>1538798988</v>
      </c>
      <c r="E2809" t="s">
        <v>2828</v>
      </c>
      <c r="F2809" t="s">
        <v>12</v>
      </c>
      <c r="G2809" s="20">
        <v>2</v>
      </c>
      <c r="H2809" t="s">
        <v>4351</v>
      </c>
      <c r="I2809" t="s">
        <v>32</v>
      </c>
      <c r="J2809" s="9"/>
      <c r="K2809" s="9"/>
      <c r="L2809" s="9"/>
    </row>
    <row r="2810" spans="2:12" ht="15" x14ac:dyDescent="0.25">
      <c r="B2810" t="s">
        <v>2102</v>
      </c>
      <c r="C2810" t="s">
        <v>2103</v>
      </c>
      <c r="D2810" t="str">
        <f>HYPERLINK("https://rhld.insurance.arkansas.gov/NPILookup?Npi=1538968896","1538968896")</f>
        <v>1538968896</v>
      </c>
      <c r="E2810" t="s">
        <v>2080</v>
      </c>
      <c r="F2810" t="s">
        <v>13</v>
      </c>
      <c r="G2810" s="20">
        <v>1</v>
      </c>
      <c r="H2810" t="s">
        <v>4357</v>
      </c>
      <c r="I2810" t="s">
        <v>4357</v>
      </c>
      <c r="J2810" s="9"/>
      <c r="K2810" s="9"/>
      <c r="L2810" s="9"/>
    </row>
    <row r="2811" spans="2:12" ht="15" x14ac:dyDescent="0.25">
      <c r="B2811" t="s">
        <v>2102</v>
      </c>
      <c r="C2811" t="s">
        <v>2103</v>
      </c>
      <c r="D2811" t="str">
        <f>HYPERLINK("https://rhld.insurance.arkansas.gov/NPILookup?Npi=1548292386","1548292386")</f>
        <v>1548292386</v>
      </c>
      <c r="E2811" t="s">
        <v>4565</v>
      </c>
      <c r="F2811" t="s">
        <v>12</v>
      </c>
      <c r="G2811" s="20">
        <v>1</v>
      </c>
      <c r="H2811" t="s">
        <v>4349</v>
      </c>
      <c r="I2811" t="s">
        <v>32</v>
      </c>
      <c r="J2811" s="9"/>
      <c r="K2811" s="9"/>
      <c r="L2811" s="9"/>
    </row>
    <row r="2812" spans="2:12" ht="15" x14ac:dyDescent="0.25">
      <c r="B2812" t="s">
        <v>2102</v>
      </c>
      <c r="C2812" t="s">
        <v>2103</v>
      </c>
      <c r="D2812" t="str">
        <f>HYPERLINK("https://rhld.insurance.arkansas.gov/NPILookup?Npi=1548298466","1548298466")</f>
        <v>1548298466</v>
      </c>
      <c r="E2812" t="s">
        <v>4566</v>
      </c>
      <c r="F2812" t="s">
        <v>12</v>
      </c>
      <c r="G2812" s="20">
        <v>1</v>
      </c>
      <c r="H2812" t="s">
        <v>4349</v>
      </c>
      <c r="I2812" t="s">
        <v>32</v>
      </c>
      <c r="J2812" s="9"/>
      <c r="K2812" s="9"/>
      <c r="L2812" s="9"/>
    </row>
    <row r="2813" spans="2:12" ht="15" x14ac:dyDescent="0.25">
      <c r="B2813" t="s">
        <v>2102</v>
      </c>
      <c r="C2813" t="s">
        <v>2103</v>
      </c>
      <c r="D2813" t="str">
        <f>HYPERLINK("https://rhld.insurance.arkansas.gov/NPILookup?Npi=1548331085","1548331085")</f>
        <v>1548331085</v>
      </c>
      <c r="E2813" t="s">
        <v>2829</v>
      </c>
      <c r="F2813" t="s">
        <v>12</v>
      </c>
      <c r="G2813" s="20">
        <v>1</v>
      </c>
      <c r="H2813" t="s">
        <v>139</v>
      </c>
      <c r="I2813" t="s">
        <v>32</v>
      </c>
      <c r="J2813" s="9"/>
      <c r="K2813" s="9"/>
      <c r="L2813" s="9"/>
    </row>
    <row r="2814" spans="2:12" ht="15" x14ac:dyDescent="0.25">
      <c r="B2814" t="s">
        <v>2102</v>
      </c>
      <c r="C2814" t="s">
        <v>2103</v>
      </c>
      <c r="D2814" t="str">
        <f>HYPERLINK("https://rhld.insurance.arkansas.gov/NPILookup?Npi=1548486053","1548486053")</f>
        <v>1548486053</v>
      </c>
      <c r="E2814" t="s">
        <v>2831</v>
      </c>
      <c r="F2814" t="s">
        <v>12</v>
      </c>
      <c r="G2814" s="20">
        <v>1</v>
      </c>
      <c r="H2814" t="s">
        <v>4349</v>
      </c>
      <c r="I2814" t="s">
        <v>32</v>
      </c>
      <c r="J2814" s="9"/>
      <c r="K2814" s="9"/>
      <c r="L2814" s="9"/>
    </row>
    <row r="2815" spans="2:12" ht="15" x14ac:dyDescent="0.25">
      <c r="B2815" t="s">
        <v>2102</v>
      </c>
      <c r="C2815" t="s">
        <v>2103</v>
      </c>
      <c r="D2815" t="str">
        <f>HYPERLINK("https://rhld.insurance.arkansas.gov/NPILookup?Npi=1548491673","1548491673")</f>
        <v>1548491673</v>
      </c>
      <c r="E2815" t="s">
        <v>2832</v>
      </c>
      <c r="F2815" t="s">
        <v>12</v>
      </c>
      <c r="G2815" s="20">
        <v>1</v>
      </c>
      <c r="H2815" t="s">
        <v>4349</v>
      </c>
      <c r="I2815" t="s">
        <v>32</v>
      </c>
      <c r="J2815" s="9"/>
      <c r="K2815" s="9"/>
      <c r="L2815" s="9"/>
    </row>
    <row r="2816" spans="2:12" ht="15" x14ac:dyDescent="0.25">
      <c r="B2816" t="s">
        <v>2102</v>
      </c>
      <c r="C2816" t="s">
        <v>2103</v>
      </c>
      <c r="D2816" t="str">
        <f>HYPERLINK("https://rhld.insurance.arkansas.gov/NPILookup?Npi=1548605256","1548605256")</f>
        <v>1548605256</v>
      </c>
      <c r="E2816" t="s">
        <v>2833</v>
      </c>
      <c r="F2816" t="s">
        <v>12</v>
      </c>
      <c r="G2816" s="20">
        <v>1</v>
      </c>
      <c r="H2816" t="s">
        <v>4338</v>
      </c>
      <c r="I2816" t="s">
        <v>32</v>
      </c>
      <c r="J2816" s="9"/>
      <c r="K2816" s="9"/>
      <c r="L2816" s="9"/>
    </row>
    <row r="2817" spans="2:12" ht="15" x14ac:dyDescent="0.25">
      <c r="B2817" t="s">
        <v>2102</v>
      </c>
      <c r="C2817" t="s">
        <v>2103</v>
      </c>
      <c r="D2817" t="str">
        <f>HYPERLINK("https://rhld.insurance.arkansas.gov/NPILookup?Npi=1548611817","1548611817")</f>
        <v>1548611817</v>
      </c>
      <c r="E2817" t="s">
        <v>2834</v>
      </c>
      <c r="F2817" t="s">
        <v>12</v>
      </c>
      <c r="G2817" s="20">
        <v>1</v>
      </c>
      <c r="H2817" t="s">
        <v>4349</v>
      </c>
      <c r="I2817" t="s">
        <v>32</v>
      </c>
      <c r="J2817" s="9"/>
      <c r="K2817" s="9"/>
      <c r="L2817" s="9"/>
    </row>
    <row r="2818" spans="2:12" ht="15" x14ac:dyDescent="0.25">
      <c r="B2818" t="s">
        <v>2102</v>
      </c>
      <c r="C2818" t="s">
        <v>2103</v>
      </c>
      <c r="D2818" t="str">
        <f>HYPERLINK("https://rhld.insurance.arkansas.gov/NPILookup?Npi=1548613961","1548613961")</f>
        <v>1548613961</v>
      </c>
      <c r="E2818" t="s">
        <v>2835</v>
      </c>
      <c r="F2818" t="s">
        <v>12</v>
      </c>
      <c r="G2818" s="20">
        <v>1</v>
      </c>
      <c r="H2818" t="s">
        <v>4349</v>
      </c>
      <c r="I2818" t="s">
        <v>32</v>
      </c>
      <c r="J2818" s="9"/>
      <c r="K2818" s="9"/>
      <c r="L2818" s="9"/>
    </row>
    <row r="2819" spans="2:12" ht="15" x14ac:dyDescent="0.25">
      <c r="B2819" t="s">
        <v>2102</v>
      </c>
      <c r="C2819" t="s">
        <v>2103</v>
      </c>
      <c r="D2819" t="str">
        <f>HYPERLINK("https://rhld.insurance.arkansas.gov/NPILookup?Npi=1548668916","1548668916")</f>
        <v>1548668916</v>
      </c>
      <c r="E2819" t="s">
        <v>4567</v>
      </c>
      <c r="F2819" t="s">
        <v>12</v>
      </c>
      <c r="G2819" s="20">
        <v>1</v>
      </c>
      <c r="H2819" t="s">
        <v>4349</v>
      </c>
      <c r="I2819" t="s">
        <v>32</v>
      </c>
      <c r="J2819" s="9"/>
      <c r="K2819" s="9"/>
      <c r="L2819" s="9"/>
    </row>
    <row r="2820" spans="2:12" ht="15" x14ac:dyDescent="0.25">
      <c r="B2820" t="s">
        <v>2102</v>
      </c>
      <c r="C2820" t="s">
        <v>2103</v>
      </c>
      <c r="D2820" t="str">
        <f>HYPERLINK("https://rhld.insurance.arkansas.gov/NPILookup?Npi=1548747462","1548747462")</f>
        <v>1548747462</v>
      </c>
      <c r="E2820" t="s">
        <v>2836</v>
      </c>
      <c r="F2820" t="s">
        <v>12</v>
      </c>
      <c r="G2820" s="20">
        <v>1</v>
      </c>
      <c r="H2820" t="s">
        <v>4338</v>
      </c>
      <c r="I2820" t="s">
        <v>32</v>
      </c>
      <c r="J2820" s="9"/>
      <c r="K2820" s="9"/>
      <c r="L2820" s="9"/>
    </row>
    <row r="2821" spans="2:12" ht="15" x14ac:dyDescent="0.25">
      <c r="B2821" t="s">
        <v>2102</v>
      </c>
      <c r="C2821" t="s">
        <v>2103</v>
      </c>
      <c r="D2821" t="str">
        <f>HYPERLINK("https://rhld.insurance.arkansas.gov/NPILookup?Npi=1548850084","1548850084")</f>
        <v>1548850084</v>
      </c>
      <c r="E2821" t="s">
        <v>2837</v>
      </c>
      <c r="F2821" t="s">
        <v>13</v>
      </c>
      <c r="G2821" s="20">
        <v>1</v>
      </c>
      <c r="H2821" t="s">
        <v>4357</v>
      </c>
      <c r="I2821" t="s">
        <v>4357</v>
      </c>
      <c r="J2821" s="9"/>
      <c r="K2821" s="9"/>
      <c r="L2821" s="9"/>
    </row>
    <row r="2822" spans="2:12" ht="15" x14ac:dyDescent="0.25">
      <c r="B2822" t="s">
        <v>2102</v>
      </c>
      <c r="C2822" t="s">
        <v>2103</v>
      </c>
      <c r="D2822" t="str">
        <f>HYPERLINK("https://rhld.insurance.arkansas.gov/NPILookup?Npi=1548972409","1548972409")</f>
        <v>1548972409</v>
      </c>
      <c r="E2822" t="s">
        <v>2839</v>
      </c>
      <c r="F2822" t="s">
        <v>13</v>
      </c>
      <c r="G2822" s="20">
        <v>1</v>
      </c>
      <c r="H2822" t="s">
        <v>87</v>
      </c>
      <c r="I2822" t="s">
        <v>4357</v>
      </c>
      <c r="J2822" s="9"/>
      <c r="K2822" s="9"/>
      <c r="L2822" s="9"/>
    </row>
    <row r="2823" spans="2:12" ht="15" x14ac:dyDescent="0.25">
      <c r="B2823" t="s">
        <v>2102</v>
      </c>
      <c r="C2823" t="s">
        <v>2103</v>
      </c>
      <c r="D2823" t="str">
        <f>HYPERLINK("https://rhld.insurance.arkansas.gov/NPILookup?Npi=1558093393","1558093393")</f>
        <v>1558093393</v>
      </c>
      <c r="E2823" t="s">
        <v>2840</v>
      </c>
      <c r="F2823" t="s">
        <v>13</v>
      </c>
      <c r="G2823" s="20">
        <v>2</v>
      </c>
      <c r="H2823" t="s">
        <v>439</v>
      </c>
      <c r="I2823" t="s">
        <v>4357</v>
      </c>
      <c r="J2823" s="9"/>
      <c r="K2823" s="9"/>
      <c r="L2823" s="9"/>
    </row>
    <row r="2824" spans="2:12" ht="15" x14ac:dyDescent="0.25">
      <c r="B2824" t="s">
        <v>2102</v>
      </c>
      <c r="C2824" t="s">
        <v>2103</v>
      </c>
      <c r="D2824" t="str">
        <f>HYPERLINK("https://rhld.insurance.arkansas.gov/NPILookup?Npi=1558323816","1558323816")</f>
        <v>1558323816</v>
      </c>
      <c r="E2824" t="s">
        <v>4568</v>
      </c>
      <c r="F2824" t="s">
        <v>12</v>
      </c>
      <c r="G2824" s="20">
        <v>1</v>
      </c>
      <c r="H2824" t="s">
        <v>4349</v>
      </c>
      <c r="I2824" t="s">
        <v>32</v>
      </c>
      <c r="J2824" s="9"/>
      <c r="K2824" s="9"/>
      <c r="L2824" s="9"/>
    </row>
    <row r="2825" spans="2:12" ht="15" x14ac:dyDescent="0.25">
      <c r="B2825" t="s">
        <v>2102</v>
      </c>
      <c r="C2825" t="s">
        <v>2103</v>
      </c>
      <c r="D2825" t="str">
        <f>HYPERLINK("https://rhld.insurance.arkansas.gov/NPILookup?Npi=1558330431","1558330431")</f>
        <v>1558330431</v>
      </c>
      <c r="E2825" t="s">
        <v>4569</v>
      </c>
      <c r="F2825" t="s">
        <v>12</v>
      </c>
      <c r="G2825" s="20">
        <v>1</v>
      </c>
      <c r="H2825" t="s">
        <v>4349</v>
      </c>
      <c r="I2825" t="s">
        <v>32</v>
      </c>
      <c r="J2825" s="9"/>
      <c r="K2825" s="9"/>
      <c r="L2825" s="9"/>
    </row>
    <row r="2826" spans="2:12" ht="15" x14ac:dyDescent="0.25">
      <c r="B2826" t="s">
        <v>2102</v>
      </c>
      <c r="C2826" t="s">
        <v>2103</v>
      </c>
      <c r="D2826" t="str">
        <f>HYPERLINK("https://rhld.insurance.arkansas.gov/NPILookup?Npi=1558336602","1558336602")</f>
        <v>1558336602</v>
      </c>
      <c r="E2826" t="s">
        <v>4570</v>
      </c>
      <c r="F2826" t="s">
        <v>12</v>
      </c>
      <c r="G2826" s="20">
        <v>1</v>
      </c>
      <c r="H2826" t="s">
        <v>4349</v>
      </c>
      <c r="I2826" t="s">
        <v>32</v>
      </c>
      <c r="J2826" s="9"/>
      <c r="K2826" s="9"/>
      <c r="L2826" s="9"/>
    </row>
    <row r="2827" spans="2:12" ht="15" x14ac:dyDescent="0.25">
      <c r="B2827" t="s">
        <v>2102</v>
      </c>
      <c r="C2827" t="s">
        <v>2103</v>
      </c>
      <c r="D2827" t="str">
        <f>HYPERLINK("https://rhld.insurance.arkansas.gov/NPILookup?Npi=1558347237","1558347237")</f>
        <v>1558347237</v>
      </c>
      <c r="E2827" t="s">
        <v>2841</v>
      </c>
      <c r="F2827" t="s">
        <v>12</v>
      </c>
      <c r="G2827" s="20">
        <v>1</v>
      </c>
      <c r="H2827" t="s">
        <v>4349</v>
      </c>
      <c r="I2827" t="s">
        <v>4357</v>
      </c>
      <c r="J2827" s="9"/>
      <c r="K2827" s="9"/>
      <c r="L2827" s="9"/>
    </row>
    <row r="2828" spans="2:12" ht="15" x14ac:dyDescent="0.25">
      <c r="B2828" t="s">
        <v>2102</v>
      </c>
      <c r="C2828" t="s">
        <v>2103</v>
      </c>
      <c r="D2828" t="str">
        <f>HYPERLINK("https://rhld.insurance.arkansas.gov/NPILookup?Npi=1558347286","1558347286")</f>
        <v>1558347286</v>
      </c>
      <c r="E2828" t="s">
        <v>2842</v>
      </c>
      <c r="F2828" t="s">
        <v>12</v>
      </c>
      <c r="G2828" s="20">
        <v>1</v>
      </c>
      <c r="H2828" t="s">
        <v>139</v>
      </c>
      <c r="I2828" t="s">
        <v>32</v>
      </c>
      <c r="J2828" s="9"/>
      <c r="K2828" s="9"/>
      <c r="L2828" s="9"/>
    </row>
    <row r="2829" spans="2:12" ht="15" x14ac:dyDescent="0.25">
      <c r="B2829" t="s">
        <v>2102</v>
      </c>
      <c r="C2829" t="s">
        <v>2103</v>
      </c>
      <c r="D2829" t="str">
        <f>HYPERLINK("https://rhld.insurance.arkansas.gov/NPILookup?Npi=1558363622","1558363622")</f>
        <v>1558363622</v>
      </c>
      <c r="E2829" t="s">
        <v>4571</v>
      </c>
      <c r="F2829" t="s">
        <v>12</v>
      </c>
      <c r="G2829" s="20">
        <v>1</v>
      </c>
      <c r="H2829" t="s">
        <v>4349</v>
      </c>
      <c r="I2829" t="s">
        <v>32</v>
      </c>
      <c r="J2829" s="9"/>
      <c r="K2829" s="9"/>
      <c r="L2829" s="9"/>
    </row>
    <row r="2830" spans="2:12" ht="15" x14ac:dyDescent="0.25">
      <c r="B2830" t="s">
        <v>2102</v>
      </c>
      <c r="C2830" t="s">
        <v>2103</v>
      </c>
      <c r="D2830" t="str">
        <f>HYPERLINK("https://rhld.insurance.arkansas.gov/NPILookup?Npi=1558651919","1558651919")</f>
        <v>1558651919</v>
      </c>
      <c r="E2830" t="s">
        <v>2845</v>
      </c>
      <c r="F2830" t="s">
        <v>12</v>
      </c>
      <c r="G2830" s="20">
        <v>1</v>
      </c>
      <c r="H2830" t="s">
        <v>4349</v>
      </c>
      <c r="I2830" t="s">
        <v>32</v>
      </c>
      <c r="J2830" s="9"/>
      <c r="K2830" s="9"/>
      <c r="L2830" s="9"/>
    </row>
    <row r="2831" spans="2:12" ht="15" x14ac:dyDescent="0.25">
      <c r="B2831" t="s">
        <v>2102</v>
      </c>
      <c r="C2831" t="s">
        <v>2103</v>
      </c>
      <c r="D2831" t="str">
        <f>HYPERLINK("https://rhld.insurance.arkansas.gov/NPILookup?Npi=1558740639","1558740639")</f>
        <v>1558740639</v>
      </c>
      <c r="E2831" t="s">
        <v>2846</v>
      </c>
      <c r="F2831" t="s">
        <v>13</v>
      </c>
      <c r="G2831" s="20">
        <v>1</v>
      </c>
      <c r="H2831" t="s">
        <v>4357</v>
      </c>
      <c r="I2831" t="s">
        <v>4357</v>
      </c>
      <c r="J2831" s="9"/>
      <c r="K2831" s="9"/>
      <c r="L2831" s="9"/>
    </row>
    <row r="2832" spans="2:12" ht="15" x14ac:dyDescent="0.25">
      <c r="B2832" t="s">
        <v>2102</v>
      </c>
      <c r="C2832" t="s">
        <v>2103</v>
      </c>
      <c r="D2832" t="str">
        <f>HYPERLINK("https://rhld.insurance.arkansas.gov/NPILookup?Npi=1558793125","1558793125")</f>
        <v>1558793125</v>
      </c>
      <c r="E2832" t="s">
        <v>2848</v>
      </c>
      <c r="F2832" t="s">
        <v>12</v>
      </c>
      <c r="G2832" s="20">
        <v>1</v>
      </c>
      <c r="H2832" t="s">
        <v>139</v>
      </c>
      <c r="I2832" t="s">
        <v>32</v>
      </c>
      <c r="J2832" s="9"/>
      <c r="K2832" s="9"/>
      <c r="L2832" s="9"/>
    </row>
    <row r="2833" spans="2:12" ht="15" x14ac:dyDescent="0.25">
      <c r="B2833" t="s">
        <v>2102</v>
      </c>
      <c r="C2833" t="s">
        <v>2103</v>
      </c>
      <c r="D2833" t="str">
        <f>HYPERLINK("https://rhld.insurance.arkansas.gov/NPILookup?Npi=1558897967","1558897967")</f>
        <v>1558897967</v>
      </c>
      <c r="E2833" t="s">
        <v>2849</v>
      </c>
      <c r="F2833" t="s">
        <v>12</v>
      </c>
      <c r="G2833" s="20">
        <v>1</v>
      </c>
      <c r="H2833" t="s">
        <v>4338</v>
      </c>
      <c r="I2833" t="s">
        <v>32</v>
      </c>
      <c r="J2833" s="9"/>
      <c r="K2833" s="9"/>
      <c r="L2833" s="9"/>
    </row>
    <row r="2834" spans="2:12" ht="15" x14ac:dyDescent="0.25">
      <c r="B2834" t="s">
        <v>2102</v>
      </c>
      <c r="C2834" t="s">
        <v>2103</v>
      </c>
      <c r="D2834" t="str">
        <f>HYPERLINK("https://rhld.insurance.arkansas.gov/NPILookup?Npi=1558948398","1558948398")</f>
        <v>1558948398</v>
      </c>
      <c r="E2834" t="s">
        <v>2850</v>
      </c>
      <c r="F2834" t="s">
        <v>13</v>
      </c>
      <c r="G2834" s="20">
        <v>1</v>
      </c>
      <c r="H2834" t="s">
        <v>4357</v>
      </c>
      <c r="I2834" t="s">
        <v>4357</v>
      </c>
      <c r="J2834" s="9"/>
      <c r="K2834" s="9"/>
      <c r="L2834" s="9"/>
    </row>
    <row r="2835" spans="2:12" ht="15" x14ac:dyDescent="0.25">
      <c r="B2835" t="s">
        <v>2102</v>
      </c>
      <c r="C2835" t="s">
        <v>2103</v>
      </c>
      <c r="D2835" t="str">
        <f>HYPERLINK("https://rhld.insurance.arkansas.gov/NPILookup?Npi=1558990952","1558990952")</f>
        <v>1558990952</v>
      </c>
      <c r="E2835" t="s">
        <v>2851</v>
      </c>
      <c r="F2835" t="s">
        <v>12</v>
      </c>
      <c r="G2835" s="20">
        <v>1</v>
      </c>
      <c r="H2835" t="s">
        <v>4349</v>
      </c>
      <c r="I2835" t="s">
        <v>32</v>
      </c>
      <c r="J2835" s="9"/>
      <c r="K2835" s="9"/>
      <c r="L2835" s="9"/>
    </row>
    <row r="2836" spans="2:12" ht="15" x14ac:dyDescent="0.25">
      <c r="B2836" t="s">
        <v>2102</v>
      </c>
      <c r="C2836" t="s">
        <v>2103</v>
      </c>
      <c r="D2836" t="str">
        <f>HYPERLINK("https://rhld.insurance.arkansas.gov/NPILookup?Npi=1568006211","1568006211")</f>
        <v>1568006211</v>
      </c>
      <c r="E2836" t="s">
        <v>2852</v>
      </c>
      <c r="F2836" t="s">
        <v>13</v>
      </c>
      <c r="G2836" s="20">
        <v>1</v>
      </c>
      <c r="H2836" t="s">
        <v>4357</v>
      </c>
      <c r="I2836" t="s">
        <v>4357</v>
      </c>
      <c r="J2836" s="9"/>
      <c r="K2836" s="9"/>
      <c r="L2836" s="9"/>
    </row>
    <row r="2837" spans="2:12" ht="15" x14ac:dyDescent="0.25">
      <c r="B2837" t="s">
        <v>2102</v>
      </c>
      <c r="C2837" t="s">
        <v>2103</v>
      </c>
      <c r="D2837" t="str">
        <f>HYPERLINK("https://rhld.insurance.arkansas.gov/NPILookup?Npi=1568088490","1568088490")</f>
        <v>1568088490</v>
      </c>
      <c r="E2837" t="s">
        <v>2853</v>
      </c>
      <c r="F2837" t="s">
        <v>13</v>
      </c>
      <c r="G2837" s="20">
        <v>1</v>
      </c>
      <c r="H2837" t="s">
        <v>4357</v>
      </c>
      <c r="I2837" t="s">
        <v>4357</v>
      </c>
      <c r="J2837" s="9"/>
      <c r="K2837" s="9"/>
      <c r="L2837" s="9"/>
    </row>
    <row r="2838" spans="2:12" ht="15" x14ac:dyDescent="0.25">
      <c r="B2838" t="s">
        <v>2102</v>
      </c>
      <c r="C2838" t="s">
        <v>2103</v>
      </c>
      <c r="D2838" t="str">
        <f>HYPERLINK("https://rhld.insurance.arkansas.gov/NPILookup?Npi=1568089555","1568089555")</f>
        <v>1568089555</v>
      </c>
      <c r="E2838" t="s">
        <v>1618</v>
      </c>
      <c r="F2838" t="s">
        <v>12</v>
      </c>
      <c r="G2838" s="20">
        <v>1</v>
      </c>
      <c r="H2838" t="s">
        <v>4338</v>
      </c>
      <c r="I2838" t="s">
        <v>32</v>
      </c>
      <c r="J2838" s="9"/>
      <c r="K2838" s="9"/>
      <c r="L2838" s="9"/>
    </row>
    <row r="2839" spans="2:12" ht="15" x14ac:dyDescent="0.25">
      <c r="B2839" t="s">
        <v>2102</v>
      </c>
      <c r="C2839" t="s">
        <v>2103</v>
      </c>
      <c r="D2839" t="str">
        <f>HYPERLINK("https://rhld.insurance.arkansas.gov/NPILookup?Npi=1568090918","1568090918")</f>
        <v>1568090918</v>
      </c>
      <c r="E2839" t="s">
        <v>2854</v>
      </c>
      <c r="F2839" t="s">
        <v>13</v>
      </c>
      <c r="G2839" s="20">
        <v>1</v>
      </c>
      <c r="H2839" t="s">
        <v>87</v>
      </c>
      <c r="I2839" t="s">
        <v>4357</v>
      </c>
      <c r="J2839" s="9"/>
      <c r="K2839" s="9"/>
      <c r="L2839" s="9"/>
    </row>
    <row r="2840" spans="2:12" ht="15" x14ac:dyDescent="0.25">
      <c r="B2840" t="s">
        <v>2102</v>
      </c>
      <c r="C2840" t="s">
        <v>2103</v>
      </c>
      <c r="D2840" t="str">
        <f>HYPERLINK("https://rhld.insurance.arkansas.gov/NPILookup?Npi=1568208221","1568208221")</f>
        <v>1568208221</v>
      </c>
      <c r="E2840" t="s">
        <v>2855</v>
      </c>
      <c r="F2840" t="s">
        <v>13</v>
      </c>
      <c r="G2840" s="20">
        <v>2</v>
      </c>
      <c r="H2840" t="s">
        <v>439</v>
      </c>
      <c r="I2840" t="s">
        <v>4357</v>
      </c>
      <c r="J2840" s="9"/>
      <c r="K2840" s="9"/>
      <c r="L2840" s="9"/>
    </row>
    <row r="2841" spans="2:12" ht="15" x14ac:dyDescent="0.25">
      <c r="B2841" t="s">
        <v>2102</v>
      </c>
      <c r="C2841" t="s">
        <v>2103</v>
      </c>
      <c r="D2841" t="str">
        <f>HYPERLINK("https://rhld.insurance.arkansas.gov/NPILookup?Npi=1568275501","1568275501")</f>
        <v>1568275501</v>
      </c>
      <c r="E2841" t="s">
        <v>2081</v>
      </c>
      <c r="F2841" t="s">
        <v>13</v>
      </c>
      <c r="G2841" s="20">
        <v>1</v>
      </c>
      <c r="H2841" t="s">
        <v>4357</v>
      </c>
      <c r="I2841" t="s">
        <v>4357</v>
      </c>
      <c r="J2841" s="9"/>
      <c r="K2841" s="9"/>
      <c r="L2841" s="9"/>
    </row>
    <row r="2842" spans="2:12" ht="15" x14ac:dyDescent="0.25">
      <c r="B2842" t="s">
        <v>2102</v>
      </c>
      <c r="C2842" t="s">
        <v>2103</v>
      </c>
      <c r="D2842" t="str">
        <f>HYPERLINK("https://rhld.insurance.arkansas.gov/NPILookup?Npi=1568293249","1568293249")</f>
        <v>1568293249</v>
      </c>
      <c r="E2842" t="s">
        <v>2082</v>
      </c>
      <c r="F2842" t="s">
        <v>13</v>
      </c>
      <c r="G2842" s="20">
        <v>1</v>
      </c>
      <c r="H2842" t="s">
        <v>4357</v>
      </c>
      <c r="I2842" t="s">
        <v>4357</v>
      </c>
      <c r="J2842" s="9"/>
      <c r="K2842" s="9"/>
      <c r="L2842" s="9"/>
    </row>
    <row r="2843" spans="2:12" ht="15" x14ac:dyDescent="0.25">
      <c r="B2843" t="s">
        <v>2102</v>
      </c>
      <c r="C2843" t="s">
        <v>2103</v>
      </c>
      <c r="D2843" t="str">
        <f>HYPERLINK("https://rhld.insurance.arkansas.gov/NPILookup?Npi=1568629699","1568629699")</f>
        <v>1568629699</v>
      </c>
      <c r="E2843" t="s">
        <v>2857</v>
      </c>
      <c r="F2843" t="s">
        <v>12</v>
      </c>
      <c r="G2843" s="20">
        <v>1</v>
      </c>
      <c r="H2843" t="s">
        <v>4349</v>
      </c>
      <c r="I2843" t="s">
        <v>4357</v>
      </c>
      <c r="J2843" s="9"/>
      <c r="K2843" s="9"/>
      <c r="L2843" s="9"/>
    </row>
    <row r="2844" spans="2:12" ht="15" x14ac:dyDescent="0.25">
      <c r="B2844" t="s">
        <v>2102</v>
      </c>
      <c r="C2844" t="s">
        <v>2103</v>
      </c>
      <c r="D2844" t="str">
        <f>HYPERLINK("https://rhld.insurance.arkansas.gov/NPILookup?Npi=1568720779","1568720779")</f>
        <v>1568720779</v>
      </c>
      <c r="E2844" t="s">
        <v>2858</v>
      </c>
      <c r="F2844" t="s">
        <v>12</v>
      </c>
      <c r="G2844" s="20">
        <v>1</v>
      </c>
      <c r="H2844" t="s">
        <v>4349</v>
      </c>
      <c r="I2844" t="s">
        <v>4357</v>
      </c>
      <c r="J2844" s="9"/>
      <c r="K2844" s="9"/>
      <c r="L2844" s="9"/>
    </row>
    <row r="2845" spans="2:12" ht="15" x14ac:dyDescent="0.25">
      <c r="B2845" t="s">
        <v>2102</v>
      </c>
      <c r="C2845" t="s">
        <v>2103</v>
      </c>
      <c r="D2845" t="str">
        <f>HYPERLINK("https://rhld.insurance.arkansas.gov/NPILookup?Npi=1568751345","1568751345")</f>
        <v>1568751345</v>
      </c>
      <c r="E2845" t="s">
        <v>2859</v>
      </c>
      <c r="F2845" t="s">
        <v>12</v>
      </c>
      <c r="G2845" s="20">
        <v>1</v>
      </c>
      <c r="H2845" t="s">
        <v>4349</v>
      </c>
      <c r="I2845" t="s">
        <v>4357</v>
      </c>
      <c r="J2845" s="9"/>
      <c r="K2845" s="9"/>
      <c r="L2845" s="9"/>
    </row>
    <row r="2846" spans="2:12" ht="15" x14ac:dyDescent="0.25">
      <c r="B2846" t="s">
        <v>2102</v>
      </c>
      <c r="C2846" t="s">
        <v>2103</v>
      </c>
      <c r="D2846" t="str">
        <f>HYPERLINK("https://rhld.insurance.arkansas.gov/NPILookup?Npi=1568756104","1568756104")</f>
        <v>1568756104</v>
      </c>
      <c r="E2846" t="s">
        <v>2860</v>
      </c>
      <c r="F2846" t="s">
        <v>13</v>
      </c>
      <c r="G2846" s="20">
        <v>1</v>
      </c>
      <c r="H2846" t="s">
        <v>87</v>
      </c>
      <c r="I2846" t="s">
        <v>4357</v>
      </c>
      <c r="J2846" s="9"/>
      <c r="K2846" s="9"/>
      <c r="L2846" s="9"/>
    </row>
    <row r="2847" spans="2:12" ht="15" x14ac:dyDescent="0.25">
      <c r="B2847" t="s">
        <v>2102</v>
      </c>
      <c r="C2847" t="s">
        <v>2103</v>
      </c>
      <c r="D2847" t="str">
        <f>HYPERLINK("https://rhld.insurance.arkansas.gov/NPILookup?Npi=1568811321","1568811321")</f>
        <v>1568811321</v>
      </c>
      <c r="E2847" t="s">
        <v>2861</v>
      </c>
      <c r="F2847" t="s">
        <v>12</v>
      </c>
      <c r="G2847" s="20">
        <v>1</v>
      </c>
      <c r="H2847" t="s">
        <v>4338</v>
      </c>
      <c r="I2847" t="s">
        <v>4357</v>
      </c>
      <c r="J2847" s="9"/>
      <c r="K2847" s="9"/>
      <c r="L2847" s="9"/>
    </row>
    <row r="2848" spans="2:12" ht="15" x14ac:dyDescent="0.25">
      <c r="B2848" t="s">
        <v>2102</v>
      </c>
      <c r="C2848" t="s">
        <v>2103</v>
      </c>
      <c r="D2848" t="str">
        <f>HYPERLINK("https://rhld.insurance.arkansas.gov/NPILookup?Npi=1568825289","1568825289")</f>
        <v>1568825289</v>
      </c>
      <c r="E2848" t="s">
        <v>4572</v>
      </c>
      <c r="F2848" t="s">
        <v>12</v>
      </c>
      <c r="G2848" s="20">
        <v>1</v>
      </c>
      <c r="H2848" t="s">
        <v>4349</v>
      </c>
      <c r="I2848" t="s">
        <v>32</v>
      </c>
      <c r="J2848" s="9"/>
      <c r="K2848" s="9"/>
      <c r="L2848" s="9"/>
    </row>
    <row r="2849" spans="2:12" ht="15" x14ac:dyDescent="0.25">
      <c r="B2849" t="s">
        <v>2102</v>
      </c>
      <c r="C2849" t="s">
        <v>2103</v>
      </c>
      <c r="D2849" t="str">
        <f>HYPERLINK("https://rhld.insurance.arkansas.gov/NPILookup?Npi=1568862001","1568862001")</f>
        <v>1568862001</v>
      </c>
      <c r="E2849" t="s">
        <v>2862</v>
      </c>
      <c r="F2849" t="s">
        <v>13</v>
      </c>
      <c r="G2849" s="20">
        <v>1</v>
      </c>
      <c r="H2849" t="s">
        <v>87</v>
      </c>
      <c r="I2849" t="s">
        <v>4357</v>
      </c>
      <c r="J2849" s="9"/>
      <c r="K2849" s="9"/>
      <c r="L2849" s="9"/>
    </row>
    <row r="2850" spans="2:12" ht="15" x14ac:dyDescent="0.25">
      <c r="B2850" t="s">
        <v>2102</v>
      </c>
      <c r="C2850" t="s">
        <v>2103</v>
      </c>
      <c r="D2850" t="str">
        <f>HYPERLINK("https://rhld.insurance.arkansas.gov/NPILookup?Npi=1568898542","1568898542")</f>
        <v>1568898542</v>
      </c>
      <c r="E2850" t="s">
        <v>2863</v>
      </c>
      <c r="F2850" t="s">
        <v>13</v>
      </c>
      <c r="G2850" s="20">
        <v>1</v>
      </c>
      <c r="H2850" t="s">
        <v>4357</v>
      </c>
      <c r="I2850" t="s">
        <v>4357</v>
      </c>
      <c r="J2850" s="9"/>
      <c r="K2850" s="9"/>
      <c r="L2850" s="9"/>
    </row>
    <row r="2851" spans="2:12" ht="15" x14ac:dyDescent="0.25">
      <c r="B2851" t="s">
        <v>2102</v>
      </c>
      <c r="C2851" t="s">
        <v>2103</v>
      </c>
      <c r="D2851" t="str">
        <f>HYPERLINK("https://rhld.insurance.arkansas.gov/NPILookup?Npi=1568929826","1568929826")</f>
        <v>1568929826</v>
      </c>
      <c r="E2851" t="s">
        <v>2864</v>
      </c>
      <c r="F2851" t="s">
        <v>12</v>
      </c>
      <c r="G2851" s="20">
        <v>1</v>
      </c>
      <c r="H2851" t="s">
        <v>4338</v>
      </c>
      <c r="I2851" t="s">
        <v>32</v>
      </c>
      <c r="J2851" s="9"/>
      <c r="K2851" s="9"/>
      <c r="L2851" s="9"/>
    </row>
    <row r="2852" spans="2:12" ht="15" x14ac:dyDescent="0.25">
      <c r="B2852" t="s">
        <v>2102</v>
      </c>
      <c r="C2852" t="s">
        <v>2103</v>
      </c>
      <c r="D2852" t="str">
        <f>HYPERLINK("https://rhld.insurance.arkansas.gov/NPILookup?Npi=1578035077","1578035077")</f>
        <v>1578035077</v>
      </c>
      <c r="E2852" t="s">
        <v>2865</v>
      </c>
      <c r="F2852" t="s">
        <v>12</v>
      </c>
      <c r="G2852" s="20">
        <v>1</v>
      </c>
      <c r="H2852" t="s">
        <v>4338</v>
      </c>
      <c r="I2852" t="s">
        <v>32</v>
      </c>
      <c r="J2852" s="9"/>
      <c r="K2852" s="9"/>
      <c r="L2852" s="9"/>
    </row>
    <row r="2853" spans="2:12" ht="15" x14ac:dyDescent="0.25">
      <c r="B2853" t="s">
        <v>2102</v>
      </c>
      <c r="C2853" t="s">
        <v>2103</v>
      </c>
      <c r="D2853" t="str">
        <f>HYPERLINK("https://rhld.insurance.arkansas.gov/NPILookup?Npi=1578095048","1578095048")</f>
        <v>1578095048</v>
      </c>
      <c r="E2853" t="s">
        <v>2866</v>
      </c>
      <c r="F2853" t="s">
        <v>12</v>
      </c>
      <c r="G2853" s="20">
        <v>1</v>
      </c>
      <c r="H2853" t="s">
        <v>4349</v>
      </c>
      <c r="I2853" t="s">
        <v>32</v>
      </c>
      <c r="J2853" s="9"/>
      <c r="K2853" s="9"/>
      <c r="L2853" s="9"/>
    </row>
    <row r="2854" spans="2:12" ht="15" x14ac:dyDescent="0.25">
      <c r="B2854" t="s">
        <v>2102</v>
      </c>
      <c r="C2854" t="s">
        <v>2103</v>
      </c>
      <c r="D2854" t="str">
        <f>HYPERLINK("https://rhld.insurance.arkansas.gov/NPILookup?Npi=1578193637","1578193637")</f>
        <v>1578193637</v>
      </c>
      <c r="E2854" t="s">
        <v>1743</v>
      </c>
      <c r="F2854" t="s">
        <v>12</v>
      </c>
      <c r="G2854" s="20">
        <v>1</v>
      </c>
      <c r="H2854" t="s">
        <v>4338</v>
      </c>
      <c r="I2854" t="s">
        <v>32</v>
      </c>
      <c r="J2854" s="9"/>
      <c r="K2854" s="9"/>
      <c r="L2854" s="9"/>
    </row>
    <row r="2855" spans="2:12" ht="15" x14ac:dyDescent="0.25">
      <c r="B2855" t="s">
        <v>2102</v>
      </c>
      <c r="C2855" t="s">
        <v>2103</v>
      </c>
      <c r="D2855" t="str">
        <f>HYPERLINK("https://rhld.insurance.arkansas.gov/NPILookup?Npi=1578251757","1578251757")</f>
        <v>1578251757</v>
      </c>
      <c r="E2855" t="s">
        <v>2867</v>
      </c>
      <c r="F2855" t="s">
        <v>13</v>
      </c>
      <c r="G2855" s="20">
        <v>1</v>
      </c>
      <c r="H2855" t="s">
        <v>4357</v>
      </c>
      <c r="I2855" t="s">
        <v>4357</v>
      </c>
      <c r="J2855" s="9"/>
      <c r="K2855" s="9"/>
      <c r="L2855" s="9"/>
    </row>
    <row r="2856" spans="2:12" ht="15" x14ac:dyDescent="0.25">
      <c r="B2856" t="s">
        <v>2102</v>
      </c>
      <c r="C2856" t="s">
        <v>2103</v>
      </c>
      <c r="D2856" t="str">
        <f>HYPERLINK("https://rhld.insurance.arkansas.gov/NPILookup?Npi=1578252276","1578252276")</f>
        <v>1578252276</v>
      </c>
      <c r="E2856" t="s">
        <v>2868</v>
      </c>
      <c r="F2856" t="s">
        <v>13</v>
      </c>
      <c r="G2856" s="20">
        <v>1</v>
      </c>
      <c r="H2856" t="s">
        <v>4357</v>
      </c>
      <c r="I2856" t="s">
        <v>4357</v>
      </c>
      <c r="J2856" s="9"/>
      <c r="K2856" s="9"/>
      <c r="L2856" s="9"/>
    </row>
    <row r="2857" spans="2:12" ht="15" x14ac:dyDescent="0.25">
      <c r="B2857" t="s">
        <v>2102</v>
      </c>
      <c r="C2857" t="s">
        <v>2103</v>
      </c>
      <c r="D2857" t="str">
        <f>HYPERLINK("https://rhld.insurance.arkansas.gov/NPILookup?Npi=1578357109","1578357109")</f>
        <v>1578357109</v>
      </c>
      <c r="E2857" t="s">
        <v>2083</v>
      </c>
      <c r="F2857" t="s">
        <v>13</v>
      </c>
      <c r="G2857" s="20">
        <v>1</v>
      </c>
      <c r="H2857" t="s">
        <v>4357</v>
      </c>
      <c r="I2857" t="s">
        <v>4357</v>
      </c>
      <c r="J2857" s="9"/>
      <c r="K2857" s="9"/>
      <c r="L2857" s="9"/>
    </row>
    <row r="2858" spans="2:12" ht="15" x14ac:dyDescent="0.25">
      <c r="B2858" t="s">
        <v>2102</v>
      </c>
      <c r="C2858" t="s">
        <v>2103</v>
      </c>
      <c r="D2858" t="str">
        <f>HYPERLINK("https://rhld.insurance.arkansas.gov/NPILookup?Npi=1578372660","1578372660")</f>
        <v>1578372660</v>
      </c>
      <c r="E2858" t="s">
        <v>2869</v>
      </c>
      <c r="F2858" t="s">
        <v>13</v>
      </c>
      <c r="G2858" s="20">
        <v>1</v>
      </c>
      <c r="H2858" t="s">
        <v>4357</v>
      </c>
      <c r="I2858" t="s">
        <v>4357</v>
      </c>
      <c r="J2858" s="9"/>
      <c r="K2858" s="9"/>
      <c r="L2858" s="9"/>
    </row>
    <row r="2859" spans="2:12" ht="15" x14ac:dyDescent="0.25">
      <c r="B2859" t="s">
        <v>2102</v>
      </c>
      <c r="C2859" t="s">
        <v>2103</v>
      </c>
      <c r="D2859" t="str">
        <f>HYPERLINK("https://rhld.insurance.arkansas.gov/NPILookup?Npi=1578387668","1578387668")</f>
        <v>1578387668</v>
      </c>
      <c r="E2859" t="s">
        <v>2084</v>
      </c>
      <c r="F2859" t="s">
        <v>13</v>
      </c>
      <c r="G2859" s="20">
        <v>1</v>
      </c>
      <c r="H2859" t="s">
        <v>4357</v>
      </c>
      <c r="I2859" t="s">
        <v>4357</v>
      </c>
      <c r="J2859" s="9"/>
      <c r="K2859" s="9"/>
      <c r="L2859" s="9"/>
    </row>
    <row r="2860" spans="2:12" ht="15" x14ac:dyDescent="0.25">
      <c r="B2860" t="s">
        <v>2102</v>
      </c>
      <c r="C2860" t="s">
        <v>2103</v>
      </c>
      <c r="D2860" t="str">
        <f>HYPERLINK("https://rhld.insurance.arkansas.gov/NPILookup?Npi=1578520227","1578520227")</f>
        <v>1578520227</v>
      </c>
      <c r="E2860" t="s">
        <v>2870</v>
      </c>
      <c r="F2860" t="s">
        <v>12</v>
      </c>
      <c r="G2860" s="20">
        <v>1</v>
      </c>
      <c r="H2860" t="s">
        <v>4349</v>
      </c>
      <c r="I2860" t="s">
        <v>32</v>
      </c>
      <c r="J2860" s="9"/>
      <c r="K2860" s="9"/>
      <c r="L2860" s="9"/>
    </row>
    <row r="2861" spans="2:12" ht="15" x14ac:dyDescent="0.25">
      <c r="B2861" t="s">
        <v>2102</v>
      </c>
      <c r="C2861" t="s">
        <v>2103</v>
      </c>
      <c r="D2861" t="str">
        <f>HYPERLINK("https://rhld.insurance.arkansas.gov/NPILookup?Npi=1578528618","1578528618")</f>
        <v>1578528618</v>
      </c>
      <c r="E2861" t="s">
        <v>2871</v>
      </c>
      <c r="F2861" t="s">
        <v>12</v>
      </c>
      <c r="G2861" s="20">
        <v>1</v>
      </c>
      <c r="H2861" t="s">
        <v>4349</v>
      </c>
      <c r="I2861" t="s">
        <v>4357</v>
      </c>
      <c r="J2861" s="9"/>
      <c r="K2861" s="9"/>
      <c r="L2861" s="9"/>
    </row>
    <row r="2862" spans="2:12" ht="15" x14ac:dyDescent="0.25">
      <c r="B2862" t="s">
        <v>2102</v>
      </c>
      <c r="C2862" t="s">
        <v>2103</v>
      </c>
      <c r="D2862" t="str">
        <f>HYPERLINK("https://rhld.insurance.arkansas.gov/NPILookup?Npi=1578535092","1578535092")</f>
        <v>1578535092</v>
      </c>
      <c r="E2862" t="s">
        <v>2872</v>
      </c>
      <c r="F2862" t="s">
        <v>12</v>
      </c>
      <c r="G2862" s="20">
        <v>1</v>
      </c>
      <c r="H2862" t="s">
        <v>4338</v>
      </c>
      <c r="I2862" t="s">
        <v>32</v>
      </c>
      <c r="J2862" s="9"/>
      <c r="K2862" s="9"/>
      <c r="L2862" s="9"/>
    </row>
    <row r="2863" spans="2:12" ht="15" x14ac:dyDescent="0.25">
      <c r="B2863" t="s">
        <v>2102</v>
      </c>
      <c r="C2863" t="s">
        <v>2103</v>
      </c>
      <c r="D2863" t="str">
        <f>HYPERLINK("https://rhld.insurance.arkansas.gov/NPILookup?Npi=1578680831","1578680831")</f>
        <v>1578680831</v>
      </c>
      <c r="E2863" t="s">
        <v>2873</v>
      </c>
      <c r="F2863" t="s">
        <v>12</v>
      </c>
      <c r="G2863" s="20">
        <v>1</v>
      </c>
      <c r="H2863" t="s">
        <v>4349</v>
      </c>
      <c r="I2863" t="s">
        <v>32</v>
      </c>
      <c r="J2863" s="9"/>
      <c r="K2863" s="9"/>
      <c r="L2863" s="9"/>
    </row>
    <row r="2864" spans="2:12" ht="15" x14ac:dyDescent="0.25">
      <c r="B2864" t="s">
        <v>2102</v>
      </c>
      <c r="C2864" t="s">
        <v>2103</v>
      </c>
      <c r="D2864" t="str">
        <f>HYPERLINK("https://rhld.insurance.arkansas.gov/NPILookup?Npi=1578723276","1578723276")</f>
        <v>1578723276</v>
      </c>
      <c r="E2864" t="s">
        <v>4573</v>
      </c>
      <c r="F2864" t="s">
        <v>12</v>
      </c>
      <c r="G2864" s="20">
        <v>1</v>
      </c>
      <c r="H2864" t="s">
        <v>4349</v>
      </c>
      <c r="I2864" t="s">
        <v>32</v>
      </c>
      <c r="J2864" s="9"/>
      <c r="K2864" s="9"/>
      <c r="L2864" s="9"/>
    </row>
    <row r="2865" spans="2:12" ht="15" x14ac:dyDescent="0.25">
      <c r="B2865" t="s">
        <v>2102</v>
      </c>
      <c r="C2865" t="s">
        <v>2103</v>
      </c>
      <c r="D2865" t="str">
        <f>HYPERLINK("https://rhld.insurance.arkansas.gov/NPILookup?Npi=1578780946","1578780946")</f>
        <v>1578780946</v>
      </c>
      <c r="E2865" t="s">
        <v>2874</v>
      </c>
      <c r="F2865" t="s">
        <v>12</v>
      </c>
      <c r="G2865" s="20">
        <v>1</v>
      </c>
      <c r="H2865" t="s">
        <v>4338</v>
      </c>
      <c r="I2865" t="s">
        <v>32</v>
      </c>
      <c r="J2865" s="9"/>
      <c r="K2865" s="9"/>
      <c r="L2865" s="9"/>
    </row>
    <row r="2866" spans="2:12" ht="15" x14ac:dyDescent="0.25">
      <c r="B2866" t="s">
        <v>2102</v>
      </c>
      <c r="C2866" t="s">
        <v>2103</v>
      </c>
      <c r="D2866" t="str">
        <f>HYPERLINK("https://rhld.insurance.arkansas.gov/NPILookup?Npi=1578911293","1578911293")</f>
        <v>1578911293</v>
      </c>
      <c r="E2866" t="s">
        <v>2876</v>
      </c>
      <c r="F2866" t="s">
        <v>13</v>
      </c>
      <c r="G2866" s="20">
        <v>1</v>
      </c>
      <c r="H2866" t="s">
        <v>4357</v>
      </c>
      <c r="I2866" t="s">
        <v>4357</v>
      </c>
      <c r="J2866" s="9"/>
      <c r="K2866" s="9"/>
      <c r="L2866" s="9"/>
    </row>
    <row r="2867" spans="2:12" ht="15" x14ac:dyDescent="0.25">
      <c r="B2867" t="s">
        <v>2102</v>
      </c>
      <c r="C2867" t="s">
        <v>2103</v>
      </c>
      <c r="D2867" t="str">
        <f>HYPERLINK("https://rhld.insurance.arkansas.gov/NPILookup?Npi=1588008684","1588008684")</f>
        <v>1588008684</v>
      </c>
      <c r="E2867" t="s">
        <v>2877</v>
      </c>
      <c r="F2867" t="s">
        <v>12</v>
      </c>
      <c r="G2867" s="20">
        <v>1</v>
      </c>
      <c r="H2867" t="s">
        <v>4338</v>
      </c>
      <c r="I2867" t="s">
        <v>32</v>
      </c>
      <c r="J2867" s="9"/>
      <c r="K2867" s="9"/>
      <c r="L2867" s="9"/>
    </row>
    <row r="2868" spans="2:12" ht="15" x14ac:dyDescent="0.25">
      <c r="B2868" t="s">
        <v>2102</v>
      </c>
      <c r="C2868" t="s">
        <v>2103</v>
      </c>
      <c r="D2868" t="str">
        <f>HYPERLINK("https://rhld.insurance.arkansas.gov/NPILookup?Npi=1588019194","1588019194")</f>
        <v>1588019194</v>
      </c>
      <c r="E2868" t="s">
        <v>2878</v>
      </c>
      <c r="F2868" t="s">
        <v>12</v>
      </c>
      <c r="G2868" s="20">
        <v>1</v>
      </c>
      <c r="H2868" t="s">
        <v>4349</v>
      </c>
      <c r="I2868" t="s">
        <v>4357</v>
      </c>
      <c r="J2868" s="9"/>
      <c r="K2868" s="9"/>
      <c r="L2868" s="9"/>
    </row>
    <row r="2869" spans="2:12" ht="15" x14ac:dyDescent="0.25">
      <c r="B2869" t="s">
        <v>2102</v>
      </c>
      <c r="C2869" t="s">
        <v>2103</v>
      </c>
      <c r="D2869" t="str">
        <f>HYPERLINK("https://rhld.insurance.arkansas.gov/NPILookup?Npi=1588147078","1588147078")</f>
        <v>1588147078</v>
      </c>
      <c r="E2869" t="s">
        <v>2881</v>
      </c>
      <c r="F2869" t="s">
        <v>13</v>
      </c>
      <c r="G2869" s="20">
        <v>1</v>
      </c>
      <c r="H2869" t="s">
        <v>4357</v>
      </c>
      <c r="I2869" t="s">
        <v>4357</v>
      </c>
      <c r="J2869" s="9"/>
      <c r="K2869" s="9"/>
      <c r="L2869" s="9"/>
    </row>
    <row r="2870" spans="2:12" ht="15" x14ac:dyDescent="0.25">
      <c r="B2870" t="s">
        <v>2102</v>
      </c>
      <c r="C2870" t="s">
        <v>2103</v>
      </c>
      <c r="D2870" t="str">
        <f>HYPERLINK("https://rhld.insurance.arkansas.gov/NPILookup?Npi=1588265896","1588265896")</f>
        <v>1588265896</v>
      </c>
      <c r="E2870" t="s">
        <v>2882</v>
      </c>
      <c r="F2870" t="s">
        <v>13</v>
      </c>
      <c r="G2870" s="20">
        <v>2</v>
      </c>
      <c r="H2870" t="s">
        <v>439</v>
      </c>
      <c r="I2870" t="s">
        <v>32</v>
      </c>
      <c r="J2870" s="9"/>
      <c r="K2870" s="9"/>
      <c r="L2870" s="9"/>
    </row>
    <row r="2871" spans="2:12" ht="15" x14ac:dyDescent="0.25">
      <c r="B2871" t="s">
        <v>2102</v>
      </c>
      <c r="C2871" t="s">
        <v>2103</v>
      </c>
      <c r="D2871" t="str">
        <f>HYPERLINK("https://rhld.insurance.arkansas.gov/NPILookup?Npi=1588293344","1588293344")</f>
        <v>1588293344</v>
      </c>
      <c r="E2871" t="s">
        <v>2883</v>
      </c>
      <c r="F2871" t="s">
        <v>13</v>
      </c>
      <c r="G2871" s="20">
        <v>1</v>
      </c>
      <c r="H2871" t="s">
        <v>4357</v>
      </c>
      <c r="I2871" t="s">
        <v>4357</v>
      </c>
      <c r="J2871" s="9"/>
      <c r="K2871" s="9"/>
      <c r="L2871" s="9"/>
    </row>
    <row r="2872" spans="2:12" ht="15" x14ac:dyDescent="0.25">
      <c r="B2872" t="s">
        <v>2102</v>
      </c>
      <c r="C2872" t="s">
        <v>2103</v>
      </c>
      <c r="D2872" t="str">
        <f>HYPERLINK("https://rhld.insurance.arkansas.gov/NPILookup?Npi=1588299291","1588299291")</f>
        <v>1588299291</v>
      </c>
      <c r="E2872" t="s">
        <v>2884</v>
      </c>
      <c r="F2872" t="s">
        <v>12</v>
      </c>
      <c r="G2872" s="20">
        <v>1</v>
      </c>
      <c r="H2872" t="s">
        <v>4338</v>
      </c>
      <c r="I2872" t="s">
        <v>32</v>
      </c>
      <c r="J2872" s="9"/>
      <c r="K2872" s="9"/>
      <c r="L2872" s="9"/>
    </row>
    <row r="2873" spans="2:12" ht="15" x14ac:dyDescent="0.25">
      <c r="B2873" t="s">
        <v>2102</v>
      </c>
      <c r="C2873" t="s">
        <v>2103</v>
      </c>
      <c r="D2873" t="str">
        <f>HYPERLINK("https://rhld.insurance.arkansas.gov/NPILookup?Npi=1588300958","1588300958")</f>
        <v>1588300958</v>
      </c>
      <c r="E2873" t="s">
        <v>2885</v>
      </c>
      <c r="F2873" t="s">
        <v>13</v>
      </c>
      <c r="G2873" s="20">
        <v>1</v>
      </c>
      <c r="H2873" t="s">
        <v>4357</v>
      </c>
      <c r="I2873" t="s">
        <v>4357</v>
      </c>
      <c r="J2873" s="9"/>
      <c r="K2873" s="9"/>
      <c r="L2873" s="9"/>
    </row>
    <row r="2874" spans="2:12" ht="15" x14ac:dyDescent="0.25">
      <c r="B2874" t="s">
        <v>2102</v>
      </c>
      <c r="C2874" t="s">
        <v>2103</v>
      </c>
      <c r="D2874" t="str">
        <f>HYPERLINK("https://rhld.insurance.arkansas.gov/NPILookup?Npi=1588434070","1588434070")</f>
        <v>1588434070</v>
      </c>
      <c r="E2874" t="s">
        <v>2085</v>
      </c>
      <c r="F2874" t="s">
        <v>13</v>
      </c>
      <c r="G2874" s="20">
        <v>1</v>
      </c>
      <c r="H2874" t="s">
        <v>4357</v>
      </c>
      <c r="I2874" t="s">
        <v>4357</v>
      </c>
      <c r="J2874" s="9"/>
      <c r="K2874" s="9"/>
      <c r="L2874" s="9"/>
    </row>
    <row r="2875" spans="2:12" ht="15" x14ac:dyDescent="0.25">
      <c r="B2875" t="s">
        <v>2102</v>
      </c>
      <c r="C2875" t="s">
        <v>2103</v>
      </c>
      <c r="D2875" t="str">
        <f>HYPERLINK("https://rhld.insurance.arkansas.gov/NPILookup?Npi=1588604672","1588604672")</f>
        <v>1588604672</v>
      </c>
      <c r="E2875" t="s">
        <v>2886</v>
      </c>
      <c r="F2875" t="s">
        <v>12</v>
      </c>
      <c r="G2875" s="20">
        <v>1</v>
      </c>
      <c r="H2875" t="s">
        <v>4349</v>
      </c>
      <c r="I2875" t="s">
        <v>32</v>
      </c>
      <c r="J2875" s="9"/>
      <c r="K2875" s="9"/>
      <c r="L2875" s="9"/>
    </row>
    <row r="2876" spans="2:12" ht="15" x14ac:dyDescent="0.25">
      <c r="B2876" t="s">
        <v>2102</v>
      </c>
      <c r="C2876" t="s">
        <v>2103</v>
      </c>
      <c r="D2876" t="str">
        <f>HYPERLINK("https://rhld.insurance.arkansas.gov/NPILookup?Npi=1588658983","1588658983")</f>
        <v>1588658983</v>
      </c>
      <c r="E2876" t="s">
        <v>4574</v>
      </c>
      <c r="F2876" t="s">
        <v>12</v>
      </c>
      <c r="G2876" s="20">
        <v>1</v>
      </c>
      <c r="H2876" t="s">
        <v>4349</v>
      </c>
      <c r="I2876" t="s">
        <v>32</v>
      </c>
      <c r="J2876" s="9"/>
      <c r="K2876" s="9"/>
      <c r="L2876" s="9"/>
    </row>
    <row r="2877" spans="2:12" ht="15" x14ac:dyDescent="0.25">
      <c r="B2877" t="s">
        <v>2102</v>
      </c>
      <c r="C2877" t="s">
        <v>2103</v>
      </c>
      <c r="D2877" t="str">
        <f>HYPERLINK("https://rhld.insurance.arkansas.gov/NPILookup?Npi=1588682801","1588682801")</f>
        <v>1588682801</v>
      </c>
      <c r="E2877" t="s">
        <v>715</v>
      </c>
      <c r="F2877" t="s">
        <v>12</v>
      </c>
      <c r="G2877" s="20">
        <v>1</v>
      </c>
      <c r="H2877" t="s">
        <v>139</v>
      </c>
      <c r="I2877" t="s">
        <v>32</v>
      </c>
      <c r="J2877" s="9"/>
      <c r="K2877" s="9"/>
      <c r="L2877" s="9"/>
    </row>
    <row r="2878" spans="2:12" ht="15" x14ac:dyDescent="0.25">
      <c r="B2878" t="s">
        <v>2102</v>
      </c>
      <c r="C2878" t="s">
        <v>2103</v>
      </c>
      <c r="D2878" t="str">
        <f>HYPERLINK("https://rhld.insurance.arkansas.gov/NPILookup?Npi=1588696082","1588696082")</f>
        <v>1588696082</v>
      </c>
      <c r="E2878" t="s">
        <v>1747</v>
      </c>
      <c r="F2878" t="s">
        <v>12</v>
      </c>
      <c r="G2878" s="20">
        <v>1</v>
      </c>
      <c r="H2878" t="s">
        <v>4338</v>
      </c>
      <c r="I2878" t="s">
        <v>32</v>
      </c>
      <c r="J2878" s="9"/>
      <c r="K2878" s="9"/>
      <c r="L2878" s="9"/>
    </row>
    <row r="2879" spans="2:12" ht="15" x14ac:dyDescent="0.25">
      <c r="B2879" t="s">
        <v>2102</v>
      </c>
      <c r="C2879" t="s">
        <v>2103</v>
      </c>
      <c r="D2879" t="str">
        <f>HYPERLINK("https://rhld.insurance.arkansas.gov/NPILookup?Npi=1588748990","1588748990")</f>
        <v>1588748990</v>
      </c>
      <c r="E2879" t="s">
        <v>2887</v>
      </c>
      <c r="F2879" t="s">
        <v>12</v>
      </c>
      <c r="G2879" s="20">
        <v>1</v>
      </c>
      <c r="H2879" t="s">
        <v>4349</v>
      </c>
      <c r="I2879" t="s">
        <v>32</v>
      </c>
      <c r="J2879" s="9"/>
      <c r="K2879" s="9"/>
      <c r="L2879" s="9"/>
    </row>
    <row r="2880" spans="2:12" ht="15" x14ac:dyDescent="0.25">
      <c r="B2880" t="s">
        <v>2102</v>
      </c>
      <c r="C2880" t="s">
        <v>2103</v>
      </c>
      <c r="D2880" t="str">
        <f>HYPERLINK("https://rhld.insurance.arkansas.gov/NPILookup?Npi=1588841340","1588841340")</f>
        <v>1588841340</v>
      </c>
      <c r="E2880" t="s">
        <v>2888</v>
      </c>
      <c r="F2880" t="s">
        <v>12</v>
      </c>
      <c r="G2880" s="20">
        <v>1</v>
      </c>
      <c r="H2880" t="s">
        <v>4349</v>
      </c>
      <c r="I2880" t="s">
        <v>32</v>
      </c>
      <c r="J2880" s="9"/>
      <c r="K2880" s="9"/>
      <c r="L2880" s="9"/>
    </row>
    <row r="2881" spans="2:12" ht="15" x14ac:dyDescent="0.25">
      <c r="B2881" t="s">
        <v>2102</v>
      </c>
      <c r="C2881" t="s">
        <v>2103</v>
      </c>
      <c r="D2881" t="str">
        <f>HYPERLINK("https://rhld.insurance.arkansas.gov/NPILookup?Npi=1588862445","1588862445")</f>
        <v>1588862445</v>
      </c>
      <c r="E2881" t="s">
        <v>2889</v>
      </c>
      <c r="F2881" t="s">
        <v>12</v>
      </c>
      <c r="G2881" s="20">
        <v>1</v>
      </c>
      <c r="H2881" t="s">
        <v>4349</v>
      </c>
      <c r="I2881" t="s">
        <v>4357</v>
      </c>
      <c r="J2881" s="9"/>
      <c r="K2881" s="9"/>
      <c r="L2881" s="9"/>
    </row>
    <row r="2882" spans="2:12" ht="15" x14ac:dyDescent="0.25">
      <c r="B2882" t="s">
        <v>2102</v>
      </c>
      <c r="C2882" t="s">
        <v>2103</v>
      </c>
      <c r="D2882" t="str">
        <f>HYPERLINK("https://rhld.insurance.arkansas.gov/NPILookup?Npi=1598011074","1598011074")</f>
        <v>1598011074</v>
      </c>
      <c r="E2882" t="s">
        <v>2890</v>
      </c>
      <c r="F2882" t="s">
        <v>12</v>
      </c>
      <c r="G2882" s="20">
        <v>1</v>
      </c>
      <c r="H2882" t="s">
        <v>4338</v>
      </c>
      <c r="I2882" t="s">
        <v>32</v>
      </c>
      <c r="J2882" s="9"/>
      <c r="K2882" s="9"/>
      <c r="L2882" s="9"/>
    </row>
    <row r="2883" spans="2:12" ht="15" x14ac:dyDescent="0.25">
      <c r="B2883" t="s">
        <v>2102</v>
      </c>
      <c r="C2883" t="s">
        <v>2103</v>
      </c>
      <c r="D2883" t="str">
        <f>HYPERLINK("https://rhld.insurance.arkansas.gov/NPILookup?Npi=1598020034","1598020034")</f>
        <v>1598020034</v>
      </c>
      <c r="E2883" t="s">
        <v>2891</v>
      </c>
      <c r="F2883" t="s">
        <v>12</v>
      </c>
      <c r="G2883" s="20">
        <v>1</v>
      </c>
      <c r="H2883" t="s">
        <v>4349</v>
      </c>
      <c r="I2883" t="s">
        <v>32</v>
      </c>
      <c r="J2883" s="9"/>
      <c r="K2883" s="9"/>
      <c r="L2883" s="9"/>
    </row>
    <row r="2884" spans="2:12" ht="15" x14ac:dyDescent="0.25">
      <c r="B2884" t="s">
        <v>2102</v>
      </c>
      <c r="C2884" t="s">
        <v>2103</v>
      </c>
      <c r="D2884" t="str">
        <f>HYPERLINK("https://rhld.insurance.arkansas.gov/NPILookup?Npi=1598026304","1598026304")</f>
        <v>1598026304</v>
      </c>
      <c r="E2884" t="s">
        <v>2892</v>
      </c>
      <c r="F2884" t="s">
        <v>12</v>
      </c>
      <c r="G2884" s="20">
        <v>1</v>
      </c>
      <c r="H2884" t="s">
        <v>139</v>
      </c>
      <c r="I2884" t="s">
        <v>32</v>
      </c>
      <c r="J2884" s="9"/>
      <c r="K2884" s="9"/>
      <c r="L2884" s="9"/>
    </row>
    <row r="2885" spans="2:12" ht="15" x14ac:dyDescent="0.25">
      <c r="B2885" t="s">
        <v>2102</v>
      </c>
      <c r="C2885" t="s">
        <v>2103</v>
      </c>
      <c r="D2885" t="str">
        <f>HYPERLINK("https://rhld.insurance.arkansas.gov/NPILookup?Npi=1598085235","1598085235")</f>
        <v>1598085235</v>
      </c>
      <c r="E2885" t="s">
        <v>2893</v>
      </c>
      <c r="F2885" t="s">
        <v>12</v>
      </c>
      <c r="G2885" s="20">
        <v>1</v>
      </c>
      <c r="H2885" t="s">
        <v>4349</v>
      </c>
      <c r="I2885" t="s">
        <v>4357</v>
      </c>
      <c r="J2885" s="9"/>
      <c r="K2885" s="9"/>
      <c r="L2885" s="9"/>
    </row>
    <row r="2886" spans="2:12" ht="15" x14ac:dyDescent="0.25">
      <c r="B2886" t="s">
        <v>2102</v>
      </c>
      <c r="C2886" t="s">
        <v>2103</v>
      </c>
      <c r="D2886" t="str">
        <f>HYPERLINK("https://rhld.insurance.arkansas.gov/NPILookup?Npi=1598105033","1598105033")</f>
        <v>1598105033</v>
      </c>
      <c r="E2886" t="s">
        <v>2894</v>
      </c>
      <c r="F2886" t="s">
        <v>13</v>
      </c>
      <c r="G2886" s="20">
        <v>1</v>
      </c>
      <c r="H2886" t="s">
        <v>4357</v>
      </c>
      <c r="I2886" t="s">
        <v>4357</v>
      </c>
      <c r="J2886" s="9"/>
      <c r="K2886" s="9"/>
      <c r="L2886" s="9"/>
    </row>
    <row r="2887" spans="2:12" ht="15" x14ac:dyDescent="0.25">
      <c r="B2887" t="s">
        <v>2102</v>
      </c>
      <c r="C2887" t="s">
        <v>2103</v>
      </c>
      <c r="D2887" t="str">
        <f>HYPERLINK("https://rhld.insurance.arkansas.gov/NPILookup?Npi=1598291106","1598291106")</f>
        <v>1598291106</v>
      </c>
      <c r="E2887" t="s">
        <v>2896</v>
      </c>
      <c r="F2887" t="s">
        <v>12</v>
      </c>
      <c r="G2887" s="20">
        <v>1</v>
      </c>
      <c r="H2887" t="s">
        <v>4349</v>
      </c>
      <c r="I2887" t="s">
        <v>32</v>
      </c>
      <c r="J2887" s="9"/>
      <c r="K2887" s="9"/>
      <c r="L2887" s="9"/>
    </row>
    <row r="2888" spans="2:12" ht="15" x14ac:dyDescent="0.25">
      <c r="B2888" t="s">
        <v>2102</v>
      </c>
      <c r="C2888" t="s">
        <v>2103</v>
      </c>
      <c r="D2888" t="str">
        <f>HYPERLINK("https://rhld.insurance.arkansas.gov/NPILookup?Npi=1598335614","1598335614")</f>
        <v>1598335614</v>
      </c>
      <c r="E2888" t="s">
        <v>2086</v>
      </c>
      <c r="F2888" t="s">
        <v>13</v>
      </c>
      <c r="G2888" s="20">
        <v>1</v>
      </c>
      <c r="H2888" t="s">
        <v>4357</v>
      </c>
      <c r="I2888" t="s">
        <v>4357</v>
      </c>
      <c r="J2888" s="9"/>
      <c r="K2888" s="9"/>
      <c r="L2888" s="9"/>
    </row>
    <row r="2889" spans="2:12" ht="15" x14ac:dyDescent="0.25">
      <c r="B2889" t="s">
        <v>2102</v>
      </c>
      <c r="C2889" t="s">
        <v>2103</v>
      </c>
      <c r="D2889" t="str">
        <f>HYPERLINK("https://rhld.insurance.arkansas.gov/NPILookup?Npi=1598394074","1598394074")</f>
        <v>1598394074</v>
      </c>
      <c r="E2889" t="s">
        <v>2897</v>
      </c>
      <c r="F2889" t="s">
        <v>12</v>
      </c>
      <c r="G2889" s="20">
        <v>1</v>
      </c>
      <c r="H2889" t="s">
        <v>4349</v>
      </c>
      <c r="I2889" t="s">
        <v>32</v>
      </c>
      <c r="J2889" s="9"/>
      <c r="K2889" s="9"/>
      <c r="L2889" s="9"/>
    </row>
    <row r="2890" spans="2:12" ht="15" x14ac:dyDescent="0.25">
      <c r="B2890" t="s">
        <v>2102</v>
      </c>
      <c r="C2890" t="s">
        <v>2103</v>
      </c>
      <c r="D2890" t="str">
        <f>HYPERLINK("https://rhld.insurance.arkansas.gov/NPILookup?Npi=1598417511","1598417511")</f>
        <v>1598417511</v>
      </c>
      <c r="E2890" t="s">
        <v>2898</v>
      </c>
      <c r="F2890" t="s">
        <v>12</v>
      </c>
      <c r="G2890" s="20">
        <v>1</v>
      </c>
      <c r="H2890" t="s">
        <v>4338</v>
      </c>
      <c r="I2890" t="s">
        <v>32</v>
      </c>
      <c r="J2890" s="9"/>
      <c r="K2890" s="9"/>
      <c r="L2890" s="9"/>
    </row>
    <row r="2891" spans="2:12" ht="15" x14ac:dyDescent="0.25">
      <c r="B2891" t="s">
        <v>2102</v>
      </c>
      <c r="C2891" t="s">
        <v>2103</v>
      </c>
      <c r="D2891" t="str">
        <f>HYPERLINK("https://rhld.insurance.arkansas.gov/NPILookup?Npi=1598725111","1598725111")</f>
        <v>1598725111</v>
      </c>
      <c r="E2891" t="s">
        <v>2899</v>
      </c>
      <c r="F2891" t="s">
        <v>12</v>
      </c>
      <c r="G2891" s="20">
        <v>1</v>
      </c>
      <c r="H2891" t="s">
        <v>4338</v>
      </c>
      <c r="I2891" t="s">
        <v>32</v>
      </c>
      <c r="J2891" s="9"/>
      <c r="K2891" s="9"/>
      <c r="L2891" s="9"/>
    </row>
    <row r="2892" spans="2:12" ht="15" x14ac:dyDescent="0.25">
      <c r="B2892" t="s">
        <v>2102</v>
      </c>
      <c r="C2892" t="s">
        <v>2103</v>
      </c>
      <c r="D2892" t="str">
        <f>HYPERLINK("https://rhld.insurance.arkansas.gov/NPILookup?Npi=1598737249","1598737249")</f>
        <v>1598737249</v>
      </c>
      <c r="E2892" t="s">
        <v>2900</v>
      </c>
      <c r="F2892" t="s">
        <v>12</v>
      </c>
      <c r="G2892" s="20">
        <v>1</v>
      </c>
      <c r="H2892" t="s">
        <v>4338</v>
      </c>
      <c r="I2892" t="s">
        <v>32</v>
      </c>
      <c r="J2892" s="9"/>
      <c r="K2892" s="9"/>
      <c r="L2892" s="9"/>
    </row>
    <row r="2893" spans="2:12" ht="15" x14ac:dyDescent="0.25">
      <c r="B2893" t="s">
        <v>2102</v>
      </c>
      <c r="C2893" t="s">
        <v>2103</v>
      </c>
      <c r="D2893" t="str">
        <f>HYPERLINK("https://rhld.insurance.arkansas.gov/NPILookup?Npi=1598737835","1598737835")</f>
        <v>1598737835</v>
      </c>
      <c r="E2893" t="s">
        <v>4575</v>
      </c>
      <c r="F2893" t="s">
        <v>12</v>
      </c>
      <c r="G2893" s="20">
        <v>1</v>
      </c>
      <c r="H2893" t="s">
        <v>4349</v>
      </c>
      <c r="I2893" t="s">
        <v>32</v>
      </c>
      <c r="J2893" s="9"/>
      <c r="K2893" s="9"/>
      <c r="L2893" s="9"/>
    </row>
    <row r="2894" spans="2:12" ht="15" x14ac:dyDescent="0.25">
      <c r="B2894" t="s">
        <v>2102</v>
      </c>
      <c r="C2894" t="s">
        <v>2103</v>
      </c>
      <c r="D2894" t="str">
        <f>HYPERLINK("https://rhld.insurance.arkansas.gov/NPILookup?Npi=1598771677","1598771677")</f>
        <v>1598771677</v>
      </c>
      <c r="E2894" t="s">
        <v>2901</v>
      </c>
      <c r="F2894" t="s">
        <v>12</v>
      </c>
      <c r="G2894" s="20">
        <v>1</v>
      </c>
      <c r="H2894" t="s">
        <v>4338</v>
      </c>
      <c r="I2894" t="s">
        <v>32</v>
      </c>
      <c r="J2894" s="9"/>
      <c r="K2894" s="9"/>
      <c r="L2894" s="9"/>
    </row>
    <row r="2895" spans="2:12" ht="15" x14ac:dyDescent="0.25">
      <c r="B2895" t="s">
        <v>2102</v>
      </c>
      <c r="C2895" t="s">
        <v>2103</v>
      </c>
      <c r="D2895" t="str">
        <f>HYPERLINK("https://rhld.insurance.arkansas.gov/NPILookup?Npi=1598783870","1598783870")</f>
        <v>1598783870</v>
      </c>
      <c r="E2895" t="s">
        <v>4576</v>
      </c>
      <c r="F2895" t="s">
        <v>12</v>
      </c>
      <c r="G2895" s="20">
        <v>1</v>
      </c>
      <c r="H2895" t="s">
        <v>4349</v>
      </c>
      <c r="I2895" t="s">
        <v>4357</v>
      </c>
      <c r="J2895" s="9"/>
      <c r="K2895" s="9"/>
      <c r="L2895" s="9"/>
    </row>
    <row r="2896" spans="2:12" ht="15" x14ac:dyDescent="0.25">
      <c r="B2896" t="s">
        <v>2102</v>
      </c>
      <c r="C2896" t="s">
        <v>2103</v>
      </c>
      <c r="D2896" t="str">
        <f>HYPERLINK("https://rhld.insurance.arkansas.gov/NPILookup?Npi=1598793754","1598793754")</f>
        <v>1598793754</v>
      </c>
      <c r="E2896" t="s">
        <v>4577</v>
      </c>
      <c r="F2896" t="s">
        <v>12</v>
      </c>
      <c r="G2896" s="20">
        <v>1</v>
      </c>
      <c r="H2896" t="s">
        <v>4349</v>
      </c>
      <c r="I2896" t="s">
        <v>32</v>
      </c>
      <c r="J2896" s="9"/>
      <c r="K2896" s="9"/>
      <c r="L2896" s="9"/>
    </row>
    <row r="2897" spans="2:12" ht="15" x14ac:dyDescent="0.25">
      <c r="B2897" t="s">
        <v>2102</v>
      </c>
      <c r="C2897" t="s">
        <v>2103</v>
      </c>
      <c r="D2897" t="str">
        <f>HYPERLINK("https://rhld.insurance.arkansas.gov/NPILookup?Npi=1598927543","1598927543")</f>
        <v>1598927543</v>
      </c>
      <c r="E2897" t="s">
        <v>2902</v>
      </c>
      <c r="F2897" t="s">
        <v>12</v>
      </c>
      <c r="G2897" s="20">
        <v>1</v>
      </c>
      <c r="H2897" t="s">
        <v>139</v>
      </c>
      <c r="I2897" t="s">
        <v>32</v>
      </c>
      <c r="J2897" s="9"/>
      <c r="K2897" s="9"/>
      <c r="L2897" s="9"/>
    </row>
    <row r="2898" spans="2:12" ht="15" x14ac:dyDescent="0.25">
      <c r="B2898" t="s">
        <v>2102</v>
      </c>
      <c r="C2898" t="s">
        <v>2103</v>
      </c>
      <c r="D2898" t="str">
        <f>HYPERLINK("https://rhld.insurance.arkansas.gov/NPILookup?Npi=1609005578","1609005578")</f>
        <v>1609005578</v>
      </c>
      <c r="E2898" t="s">
        <v>2903</v>
      </c>
      <c r="F2898" t="s">
        <v>12</v>
      </c>
      <c r="G2898" s="20">
        <v>1</v>
      </c>
      <c r="H2898" t="s">
        <v>4349</v>
      </c>
      <c r="I2898" t="s">
        <v>4357</v>
      </c>
      <c r="J2898" s="9"/>
      <c r="K2898" s="9"/>
      <c r="L2898" s="9"/>
    </row>
    <row r="2899" spans="2:12" ht="15" x14ac:dyDescent="0.25">
      <c r="B2899" t="s">
        <v>2102</v>
      </c>
      <c r="C2899" t="s">
        <v>2103</v>
      </c>
      <c r="D2899" t="str">
        <f>HYPERLINK("https://rhld.insurance.arkansas.gov/NPILookup?Npi=1609060334","1609060334")</f>
        <v>1609060334</v>
      </c>
      <c r="E2899" t="s">
        <v>3076</v>
      </c>
      <c r="F2899" t="s">
        <v>12</v>
      </c>
      <c r="G2899" s="20">
        <v>1</v>
      </c>
      <c r="H2899" t="s">
        <v>4349</v>
      </c>
      <c r="I2899" t="s">
        <v>32</v>
      </c>
      <c r="J2899" s="9"/>
      <c r="K2899" s="9"/>
      <c r="L2899" s="9"/>
    </row>
    <row r="2900" spans="2:12" ht="15" x14ac:dyDescent="0.25">
      <c r="B2900" t="s">
        <v>2102</v>
      </c>
      <c r="C2900" t="s">
        <v>2103</v>
      </c>
      <c r="D2900" t="str">
        <f>HYPERLINK("https://rhld.insurance.arkansas.gov/NPILookup?Npi=1609072347","1609072347")</f>
        <v>1609072347</v>
      </c>
      <c r="E2900" t="s">
        <v>4578</v>
      </c>
      <c r="F2900" t="s">
        <v>12</v>
      </c>
      <c r="G2900" s="20">
        <v>1</v>
      </c>
      <c r="H2900" t="s">
        <v>4349</v>
      </c>
      <c r="I2900" t="s">
        <v>32</v>
      </c>
      <c r="J2900" s="9"/>
      <c r="K2900" s="9"/>
      <c r="L2900" s="9"/>
    </row>
    <row r="2901" spans="2:12" ht="15" x14ac:dyDescent="0.25">
      <c r="B2901" t="s">
        <v>2102</v>
      </c>
      <c r="C2901" t="s">
        <v>2103</v>
      </c>
      <c r="D2901" t="str">
        <f>HYPERLINK("https://rhld.insurance.arkansas.gov/NPILookup?Npi=1609090869","1609090869")</f>
        <v>1609090869</v>
      </c>
      <c r="E2901" t="s">
        <v>2904</v>
      </c>
      <c r="F2901" t="s">
        <v>12</v>
      </c>
      <c r="G2901" s="20">
        <v>1</v>
      </c>
      <c r="H2901" t="s">
        <v>4349</v>
      </c>
      <c r="I2901" t="s">
        <v>32</v>
      </c>
      <c r="J2901" s="9"/>
      <c r="K2901" s="9"/>
      <c r="L2901" s="9"/>
    </row>
    <row r="2902" spans="2:12" ht="15" x14ac:dyDescent="0.25">
      <c r="B2902" t="s">
        <v>2102</v>
      </c>
      <c r="C2902" t="s">
        <v>2103</v>
      </c>
      <c r="D2902" t="str">
        <f>HYPERLINK("https://rhld.insurance.arkansas.gov/NPILookup?Npi=1609096148","1609096148")</f>
        <v>1609096148</v>
      </c>
      <c r="E2902" t="s">
        <v>4579</v>
      </c>
      <c r="F2902" t="s">
        <v>12</v>
      </c>
      <c r="G2902" s="20">
        <v>1</v>
      </c>
      <c r="H2902" t="s">
        <v>4349</v>
      </c>
      <c r="I2902" t="s">
        <v>4357</v>
      </c>
      <c r="J2902" s="9"/>
      <c r="K2902" s="9"/>
      <c r="L2902" s="9"/>
    </row>
    <row r="2903" spans="2:12" ht="15" x14ac:dyDescent="0.25">
      <c r="B2903" t="s">
        <v>2102</v>
      </c>
      <c r="C2903" t="s">
        <v>2103</v>
      </c>
      <c r="D2903" t="str">
        <f>HYPERLINK("https://rhld.insurance.arkansas.gov/NPILookup?Npi=1609096577","1609096577")</f>
        <v>1609096577</v>
      </c>
      <c r="E2903" t="s">
        <v>4580</v>
      </c>
      <c r="F2903" t="s">
        <v>12</v>
      </c>
      <c r="G2903" s="20">
        <v>1</v>
      </c>
      <c r="H2903" t="s">
        <v>4349</v>
      </c>
      <c r="I2903" t="s">
        <v>32</v>
      </c>
      <c r="J2903" s="9"/>
      <c r="K2903" s="9"/>
      <c r="L2903" s="9"/>
    </row>
    <row r="2904" spans="2:12" ht="15" x14ac:dyDescent="0.25">
      <c r="B2904" t="s">
        <v>2102</v>
      </c>
      <c r="C2904" t="s">
        <v>2103</v>
      </c>
      <c r="D2904" t="str">
        <f>HYPERLINK("https://rhld.insurance.arkansas.gov/NPILookup?Npi=1609135797","1609135797")</f>
        <v>1609135797</v>
      </c>
      <c r="E2904" t="s">
        <v>4581</v>
      </c>
      <c r="F2904" t="s">
        <v>12</v>
      </c>
      <c r="G2904" s="20">
        <v>1</v>
      </c>
      <c r="H2904" t="s">
        <v>4349</v>
      </c>
      <c r="I2904" t="s">
        <v>32</v>
      </c>
      <c r="J2904" s="9"/>
      <c r="K2904" s="9"/>
      <c r="L2904" s="9"/>
    </row>
    <row r="2905" spans="2:12" ht="15" x14ac:dyDescent="0.25">
      <c r="B2905" t="s">
        <v>2102</v>
      </c>
      <c r="C2905" t="s">
        <v>2103</v>
      </c>
      <c r="D2905" t="str">
        <f>HYPERLINK("https://rhld.insurance.arkansas.gov/NPILookup?Npi=1609282433","1609282433")</f>
        <v>1609282433</v>
      </c>
      <c r="E2905" t="s">
        <v>2906</v>
      </c>
      <c r="F2905" t="s">
        <v>13</v>
      </c>
      <c r="G2905" s="20">
        <v>1</v>
      </c>
      <c r="H2905" t="s">
        <v>87</v>
      </c>
      <c r="I2905" t="s">
        <v>4357</v>
      </c>
      <c r="J2905" s="9"/>
      <c r="K2905" s="9"/>
      <c r="L2905" s="9"/>
    </row>
    <row r="2906" spans="2:12" ht="15" x14ac:dyDescent="0.25">
      <c r="B2906" t="s">
        <v>2102</v>
      </c>
      <c r="C2906" t="s">
        <v>2103</v>
      </c>
      <c r="D2906" t="str">
        <f>HYPERLINK("https://rhld.insurance.arkansas.gov/NPILookup?Npi=1609305929","1609305929")</f>
        <v>1609305929</v>
      </c>
      <c r="E2906" t="s">
        <v>2907</v>
      </c>
      <c r="F2906" t="s">
        <v>12</v>
      </c>
      <c r="G2906" s="20">
        <v>1</v>
      </c>
      <c r="H2906" t="s">
        <v>4338</v>
      </c>
      <c r="I2906" t="s">
        <v>32</v>
      </c>
      <c r="J2906" s="9"/>
      <c r="K2906" s="9"/>
      <c r="L2906" s="9"/>
    </row>
    <row r="2907" spans="2:12" ht="15" x14ac:dyDescent="0.25">
      <c r="B2907" t="s">
        <v>2102</v>
      </c>
      <c r="C2907" t="s">
        <v>2103</v>
      </c>
      <c r="D2907" t="str">
        <f>HYPERLINK("https://rhld.insurance.arkansas.gov/NPILookup?Npi=1609647015","1609647015")</f>
        <v>1609647015</v>
      </c>
      <c r="E2907" t="s">
        <v>2908</v>
      </c>
      <c r="F2907" t="s">
        <v>13</v>
      </c>
      <c r="G2907" s="20">
        <v>2</v>
      </c>
      <c r="H2907" t="s">
        <v>439</v>
      </c>
      <c r="I2907" t="s">
        <v>4357</v>
      </c>
      <c r="J2907" s="9"/>
      <c r="K2907" s="9"/>
      <c r="L2907" s="9"/>
    </row>
    <row r="2908" spans="2:12" ht="15" x14ac:dyDescent="0.25">
      <c r="B2908" t="s">
        <v>2102</v>
      </c>
      <c r="C2908" t="s">
        <v>2103</v>
      </c>
      <c r="D2908" t="str">
        <f>HYPERLINK("https://rhld.insurance.arkansas.gov/NPILookup?Npi=1609815919","1609815919")</f>
        <v>1609815919</v>
      </c>
      <c r="E2908" t="s">
        <v>2909</v>
      </c>
      <c r="F2908" t="s">
        <v>12</v>
      </c>
      <c r="G2908" s="20">
        <v>1</v>
      </c>
      <c r="H2908" t="s">
        <v>4338</v>
      </c>
      <c r="I2908" t="s">
        <v>32</v>
      </c>
      <c r="J2908" s="9"/>
      <c r="K2908" s="9"/>
      <c r="L2908" s="9"/>
    </row>
    <row r="2909" spans="2:12" ht="15" x14ac:dyDescent="0.25">
      <c r="B2909" t="s">
        <v>2102</v>
      </c>
      <c r="C2909" t="s">
        <v>2103</v>
      </c>
      <c r="D2909" t="str">
        <f>HYPERLINK("https://rhld.insurance.arkansas.gov/NPILookup?Npi=1619136165","1619136165")</f>
        <v>1619136165</v>
      </c>
      <c r="E2909" t="s">
        <v>2910</v>
      </c>
      <c r="F2909" t="s">
        <v>12</v>
      </c>
      <c r="G2909" s="20">
        <v>1</v>
      </c>
      <c r="H2909" t="s">
        <v>139</v>
      </c>
      <c r="I2909" t="s">
        <v>4357</v>
      </c>
      <c r="J2909" s="9"/>
      <c r="K2909" s="9"/>
      <c r="L2909" s="9"/>
    </row>
    <row r="2910" spans="2:12" ht="15" x14ac:dyDescent="0.25">
      <c r="B2910" t="s">
        <v>2102</v>
      </c>
      <c r="C2910" t="s">
        <v>2103</v>
      </c>
      <c r="D2910" t="str">
        <f>HYPERLINK("https://rhld.insurance.arkansas.gov/NPILookup?Npi=1619222437","1619222437")</f>
        <v>1619222437</v>
      </c>
      <c r="E2910" t="s">
        <v>4582</v>
      </c>
      <c r="F2910" t="s">
        <v>12</v>
      </c>
      <c r="G2910" s="20">
        <v>1</v>
      </c>
      <c r="H2910" t="s">
        <v>4349</v>
      </c>
      <c r="I2910" t="s">
        <v>32</v>
      </c>
      <c r="J2910" s="9"/>
      <c r="K2910" s="9"/>
      <c r="L2910" s="9"/>
    </row>
    <row r="2911" spans="2:12" ht="15" x14ac:dyDescent="0.25">
      <c r="B2911" t="s">
        <v>2102</v>
      </c>
      <c r="C2911" t="s">
        <v>2103</v>
      </c>
      <c r="D2911" t="str">
        <f>HYPERLINK("https://rhld.insurance.arkansas.gov/NPILookup?Npi=1619339280","1619339280")</f>
        <v>1619339280</v>
      </c>
      <c r="E2911" t="s">
        <v>2912</v>
      </c>
      <c r="F2911" t="s">
        <v>12</v>
      </c>
      <c r="G2911" s="20">
        <v>1</v>
      </c>
      <c r="H2911" t="s">
        <v>4338</v>
      </c>
      <c r="I2911" t="s">
        <v>32</v>
      </c>
      <c r="J2911" s="9"/>
      <c r="K2911" s="9"/>
      <c r="L2911" s="9"/>
    </row>
    <row r="2912" spans="2:12" ht="15" x14ac:dyDescent="0.25">
      <c r="B2912" t="s">
        <v>2102</v>
      </c>
      <c r="C2912" t="s">
        <v>2103</v>
      </c>
      <c r="D2912" t="str">
        <f>HYPERLINK("https://rhld.insurance.arkansas.gov/NPILookup?Npi=1619357209","1619357209")</f>
        <v>1619357209</v>
      </c>
      <c r="E2912" t="s">
        <v>2913</v>
      </c>
      <c r="F2912" t="s">
        <v>12</v>
      </c>
      <c r="G2912" s="20">
        <v>1</v>
      </c>
      <c r="H2912" t="s">
        <v>4349</v>
      </c>
      <c r="I2912" t="s">
        <v>4357</v>
      </c>
      <c r="J2912" s="9"/>
      <c r="K2912" s="9"/>
      <c r="L2912" s="9"/>
    </row>
    <row r="2913" spans="2:12" ht="15" x14ac:dyDescent="0.25">
      <c r="B2913" t="s">
        <v>2102</v>
      </c>
      <c r="C2913" t="s">
        <v>2103</v>
      </c>
      <c r="D2913" t="str">
        <f>HYPERLINK("https://rhld.insurance.arkansas.gov/NPILookup?Npi=1619427382","1619427382")</f>
        <v>1619427382</v>
      </c>
      <c r="E2913" t="s">
        <v>2915</v>
      </c>
      <c r="F2913" t="s">
        <v>12</v>
      </c>
      <c r="G2913" s="20">
        <v>1</v>
      </c>
      <c r="H2913" t="s">
        <v>4349</v>
      </c>
      <c r="I2913" t="s">
        <v>32</v>
      </c>
      <c r="J2913" s="9"/>
      <c r="K2913" s="9"/>
      <c r="L2913" s="9"/>
    </row>
    <row r="2914" spans="2:12" ht="15" x14ac:dyDescent="0.25">
      <c r="B2914" t="s">
        <v>2102</v>
      </c>
      <c r="C2914" t="s">
        <v>2103</v>
      </c>
      <c r="D2914" t="str">
        <f>HYPERLINK("https://rhld.insurance.arkansas.gov/NPILookup?Npi=1619487733","1619487733")</f>
        <v>1619487733</v>
      </c>
      <c r="E2914" t="s">
        <v>2916</v>
      </c>
      <c r="F2914" t="s">
        <v>12</v>
      </c>
      <c r="G2914" s="20">
        <v>1</v>
      </c>
      <c r="H2914" t="s">
        <v>4338</v>
      </c>
      <c r="I2914" t="s">
        <v>32</v>
      </c>
      <c r="J2914" s="9"/>
      <c r="K2914" s="9"/>
      <c r="L2914" s="9"/>
    </row>
    <row r="2915" spans="2:12" ht="15" x14ac:dyDescent="0.25">
      <c r="B2915" t="s">
        <v>2102</v>
      </c>
      <c r="C2915" t="s">
        <v>2103</v>
      </c>
      <c r="D2915" t="str">
        <f>HYPERLINK("https://rhld.insurance.arkansas.gov/NPILookup?Npi=1619563343","1619563343")</f>
        <v>1619563343</v>
      </c>
      <c r="E2915" t="s">
        <v>1754</v>
      </c>
      <c r="F2915" t="s">
        <v>12</v>
      </c>
      <c r="G2915" s="20">
        <v>1</v>
      </c>
      <c r="H2915" t="s">
        <v>4338</v>
      </c>
      <c r="I2915" t="s">
        <v>32</v>
      </c>
      <c r="J2915" s="9"/>
      <c r="K2915" s="9"/>
      <c r="L2915" s="9"/>
    </row>
    <row r="2916" spans="2:12" ht="15" x14ac:dyDescent="0.25">
      <c r="B2916" t="s">
        <v>2102</v>
      </c>
      <c r="C2916" t="s">
        <v>2103</v>
      </c>
      <c r="D2916" t="str">
        <f>HYPERLINK("https://rhld.insurance.arkansas.gov/NPILookup?Npi=1619667284","1619667284")</f>
        <v>1619667284</v>
      </c>
      <c r="E2916" t="s">
        <v>2919</v>
      </c>
      <c r="F2916" t="s">
        <v>12</v>
      </c>
      <c r="G2916" s="20">
        <v>1</v>
      </c>
      <c r="H2916" t="s">
        <v>4338</v>
      </c>
      <c r="I2916" t="s">
        <v>32</v>
      </c>
      <c r="J2916" s="9"/>
      <c r="K2916" s="9"/>
      <c r="L2916" s="9"/>
    </row>
    <row r="2917" spans="2:12" ht="15" x14ac:dyDescent="0.25">
      <c r="B2917" t="s">
        <v>2102</v>
      </c>
      <c r="C2917" t="s">
        <v>2103</v>
      </c>
      <c r="D2917" t="str">
        <f>HYPERLINK("https://rhld.insurance.arkansas.gov/NPILookup?Npi=1619775939","1619775939")</f>
        <v>1619775939</v>
      </c>
      <c r="E2917" t="s">
        <v>2087</v>
      </c>
      <c r="F2917" t="s">
        <v>13</v>
      </c>
      <c r="G2917" s="20">
        <v>1</v>
      </c>
      <c r="H2917" t="s">
        <v>4357</v>
      </c>
      <c r="I2917" t="s">
        <v>4357</v>
      </c>
      <c r="J2917" s="9"/>
      <c r="K2917" s="9"/>
      <c r="L2917" s="9"/>
    </row>
    <row r="2918" spans="2:12" ht="15" x14ac:dyDescent="0.25">
      <c r="B2918" t="s">
        <v>2102</v>
      </c>
      <c r="C2918" t="s">
        <v>2103</v>
      </c>
      <c r="D2918" t="str">
        <f>HYPERLINK("https://rhld.insurance.arkansas.gov/NPILookup?Npi=1619938164","1619938164")</f>
        <v>1619938164</v>
      </c>
      <c r="E2918" t="s">
        <v>2920</v>
      </c>
      <c r="F2918" t="s">
        <v>12</v>
      </c>
      <c r="G2918" s="20">
        <v>1</v>
      </c>
      <c r="H2918" t="s">
        <v>4338</v>
      </c>
      <c r="I2918" t="s">
        <v>32</v>
      </c>
      <c r="J2918" s="9"/>
      <c r="K2918" s="9"/>
      <c r="L2918" s="9"/>
    </row>
    <row r="2919" spans="2:12" ht="15" x14ac:dyDescent="0.25">
      <c r="B2919" t="s">
        <v>2102</v>
      </c>
      <c r="C2919" t="s">
        <v>2103</v>
      </c>
      <c r="D2919" t="str">
        <f>HYPERLINK("https://rhld.insurance.arkansas.gov/NPILookup?Npi=1619948700","1619948700")</f>
        <v>1619948700</v>
      </c>
      <c r="E2919" t="s">
        <v>4583</v>
      </c>
      <c r="F2919" t="s">
        <v>12</v>
      </c>
      <c r="G2919" s="20">
        <v>1</v>
      </c>
      <c r="H2919" t="s">
        <v>4349</v>
      </c>
      <c r="I2919" t="s">
        <v>32</v>
      </c>
      <c r="J2919" s="9"/>
      <c r="K2919" s="9"/>
      <c r="L2919" s="9"/>
    </row>
    <row r="2920" spans="2:12" ht="15" x14ac:dyDescent="0.25">
      <c r="B2920" t="s">
        <v>2102</v>
      </c>
      <c r="C2920" t="s">
        <v>2103</v>
      </c>
      <c r="D2920" t="str">
        <f>HYPERLINK("https://rhld.insurance.arkansas.gov/NPILookup?Npi=1629009451","1629009451")</f>
        <v>1629009451</v>
      </c>
      <c r="E2920" t="s">
        <v>2921</v>
      </c>
      <c r="F2920" t="s">
        <v>12</v>
      </c>
      <c r="G2920" s="20">
        <v>1</v>
      </c>
      <c r="H2920" t="s">
        <v>4338</v>
      </c>
      <c r="I2920" t="s">
        <v>32</v>
      </c>
      <c r="J2920" s="9"/>
      <c r="K2920" s="9"/>
      <c r="L2920" s="9"/>
    </row>
    <row r="2921" spans="2:12" ht="15" x14ac:dyDescent="0.25">
      <c r="B2921" t="s">
        <v>2102</v>
      </c>
      <c r="C2921" t="s">
        <v>2103</v>
      </c>
      <c r="D2921" t="str">
        <f>HYPERLINK("https://rhld.insurance.arkansas.gov/NPILookup?Npi=1629026950","1629026950")</f>
        <v>1629026950</v>
      </c>
      <c r="E2921" t="s">
        <v>2922</v>
      </c>
      <c r="F2921" t="s">
        <v>12</v>
      </c>
      <c r="G2921" s="20">
        <v>1</v>
      </c>
      <c r="H2921" t="s">
        <v>4349</v>
      </c>
      <c r="I2921" t="s">
        <v>4357</v>
      </c>
      <c r="J2921" s="9"/>
      <c r="K2921" s="9"/>
      <c r="L2921" s="9"/>
    </row>
    <row r="2922" spans="2:12" ht="15" x14ac:dyDescent="0.25">
      <c r="B2922" t="s">
        <v>2102</v>
      </c>
      <c r="C2922" t="s">
        <v>2103</v>
      </c>
      <c r="D2922" t="str">
        <f>HYPERLINK("https://rhld.insurance.arkansas.gov/NPILookup?Npi=1629203005","1629203005")</f>
        <v>1629203005</v>
      </c>
      <c r="E2922" t="s">
        <v>2923</v>
      </c>
      <c r="F2922" t="s">
        <v>13</v>
      </c>
      <c r="G2922" s="20">
        <v>1</v>
      </c>
      <c r="H2922" t="s">
        <v>4357</v>
      </c>
      <c r="I2922" t="s">
        <v>4357</v>
      </c>
      <c r="J2922" s="9"/>
      <c r="K2922" s="9"/>
      <c r="L2922" s="9"/>
    </row>
    <row r="2923" spans="2:12" ht="15" x14ac:dyDescent="0.25">
      <c r="B2923" t="s">
        <v>2102</v>
      </c>
      <c r="C2923" t="s">
        <v>2103</v>
      </c>
      <c r="D2923" t="str">
        <f>HYPERLINK("https://rhld.insurance.arkansas.gov/NPILookup?Npi=1629366471","1629366471")</f>
        <v>1629366471</v>
      </c>
      <c r="E2923" t="s">
        <v>2924</v>
      </c>
      <c r="F2923" t="s">
        <v>12</v>
      </c>
      <c r="G2923" s="20">
        <v>1</v>
      </c>
      <c r="H2923" t="s">
        <v>4349</v>
      </c>
      <c r="I2923" t="s">
        <v>32</v>
      </c>
      <c r="J2923" s="9"/>
      <c r="K2923" s="9"/>
      <c r="L2923" s="9"/>
    </row>
    <row r="2924" spans="2:12" ht="15" x14ac:dyDescent="0.25">
      <c r="B2924" t="s">
        <v>2102</v>
      </c>
      <c r="C2924" t="s">
        <v>2103</v>
      </c>
      <c r="D2924" t="str">
        <f>HYPERLINK("https://rhld.insurance.arkansas.gov/NPILookup?Npi=1629425913","1629425913")</f>
        <v>1629425913</v>
      </c>
      <c r="E2924" t="s">
        <v>732</v>
      </c>
      <c r="F2924" t="s">
        <v>12</v>
      </c>
      <c r="G2924" s="20">
        <v>1</v>
      </c>
      <c r="H2924" t="s">
        <v>4349</v>
      </c>
      <c r="I2924" t="s">
        <v>32</v>
      </c>
      <c r="J2924" s="9"/>
      <c r="K2924" s="9"/>
      <c r="L2924" s="9"/>
    </row>
    <row r="2925" spans="2:12" ht="15" x14ac:dyDescent="0.25">
      <c r="B2925" t="s">
        <v>2102</v>
      </c>
      <c r="C2925" t="s">
        <v>2103</v>
      </c>
      <c r="D2925" t="str">
        <f>HYPERLINK("https://rhld.insurance.arkansas.gov/NPILookup?Npi=1629428826","1629428826")</f>
        <v>1629428826</v>
      </c>
      <c r="E2925" t="s">
        <v>733</v>
      </c>
      <c r="F2925" t="s">
        <v>12</v>
      </c>
      <c r="G2925" s="20">
        <v>1</v>
      </c>
      <c r="H2925" t="s">
        <v>4349</v>
      </c>
      <c r="I2925" t="s">
        <v>32</v>
      </c>
      <c r="J2925" s="9"/>
      <c r="K2925" s="9"/>
      <c r="L2925" s="9"/>
    </row>
    <row r="2926" spans="2:12" ht="15" x14ac:dyDescent="0.25">
      <c r="B2926" t="s">
        <v>2102</v>
      </c>
      <c r="C2926" t="s">
        <v>2103</v>
      </c>
      <c r="D2926" t="str">
        <f>HYPERLINK("https://rhld.insurance.arkansas.gov/NPILookup?Npi=1629483110","1629483110")</f>
        <v>1629483110</v>
      </c>
      <c r="E2926" t="s">
        <v>2925</v>
      </c>
      <c r="F2926" t="s">
        <v>12</v>
      </c>
      <c r="G2926" s="20">
        <v>1</v>
      </c>
      <c r="H2926" t="s">
        <v>4349</v>
      </c>
      <c r="I2926" t="s">
        <v>32</v>
      </c>
      <c r="J2926" s="9"/>
      <c r="K2926" s="9"/>
      <c r="L2926" s="9"/>
    </row>
    <row r="2927" spans="2:12" ht="15" x14ac:dyDescent="0.25">
      <c r="B2927" t="s">
        <v>2102</v>
      </c>
      <c r="C2927" t="s">
        <v>2103</v>
      </c>
      <c r="D2927" t="str">
        <f>HYPERLINK("https://rhld.insurance.arkansas.gov/NPILookup?Npi=1629501572","1629501572")</f>
        <v>1629501572</v>
      </c>
      <c r="E2927" t="s">
        <v>2926</v>
      </c>
      <c r="F2927" t="s">
        <v>12</v>
      </c>
      <c r="G2927" s="20">
        <v>1</v>
      </c>
      <c r="H2927" t="s">
        <v>139</v>
      </c>
      <c r="I2927" t="s">
        <v>4357</v>
      </c>
      <c r="J2927" s="9"/>
      <c r="K2927" s="9"/>
      <c r="L2927" s="9"/>
    </row>
    <row r="2928" spans="2:12" ht="15" x14ac:dyDescent="0.25">
      <c r="B2928" t="s">
        <v>2102</v>
      </c>
      <c r="C2928" t="s">
        <v>2103</v>
      </c>
      <c r="D2928" t="str">
        <f>HYPERLINK("https://rhld.insurance.arkansas.gov/NPILookup?Npi=1629509781","1629509781")</f>
        <v>1629509781</v>
      </c>
      <c r="E2928" t="s">
        <v>2927</v>
      </c>
      <c r="F2928" t="s">
        <v>12</v>
      </c>
      <c r="G2928" s="20">
        <v>1</v>
      </c>
      <c r="H2928" t="s">
        <v>4349</v>
      </c>
      <c r="I2928" t="s">
        <v>4357</v>
      </c>
      <c r="J2928" s="9"/>
      <c r="K2928" s="9"/>
      <c r="L2928" s="9"/>
    </row>
    <row r="2929" spans="2:12" ht="15" x14ac:dyDescent="0.25">
      <c r="B2929" t="s">
        <v>2102</v>
      </c>
      <c r="C2929" t="s">
        <v>2103</v>
      </c>
      <c r="D2929" t="str">
        <f>HYPERLINK("https://rhld.insurance.arkansas.gov/NPILookup?Npi=1629531595","1629531595")</f>
        <v>1629531595</v>
      </c>
      <c r="E2929" t="s">
        <v>2928</v>
      </c>
      <c r="F2929" t="s">
        <v>13</v>
      </c>
      <c r="G2929" s="20">
        <v>1</v>
      </c>
      <c r="H2929" t="s">
        <v>4357</v>
      </c>
      <c r="I2929" t="s">
        <v>4357</v>
      </c>
      <c r="J2929" s="9"/>
      <c r="K2929" s="9"/>
      <c r="L2929" s="9"/>
    </row>
    <row r="2930" spans="2:12" ht="15" x14ac:dyDescent="0.25">
      <c r="B2930" t="s">
        <v>2102</v>
      </c>
      <c r="C2930" t="s">
        <v>2103</v>
      </c>
      <c r="D2930" t="str">
        <f>HYPERLINK("https://rhld.insurance.arkansas.gov/NPILookup?Npi=1629604129","1629604129")</f>
        <v>1629604129</v>
      </c>
      <c r="E2930" t="s">
        <v>2929</v>
      </c>
      <c r="F2930" t="s">
        <v>12</v>
      </c>
      <c r="G2930" s="20">
        <v>1</v>
      </c>
      <c r="H2930" t="s">
        <v>4338</v>
      </c>
      <c r="I2930" t="s">
        <v>32</v>
      </c>
      <c r="J2930" s="9"/>
      <c r="K2930" s="9"/>
      <c r="L2930" s="9"/>
    </row>
    <row r="2931" spans="2:12" ht="15" x14ac:dyDescent="0.25">
      <c r="B2931" t="s">
        <v>2102</v>
      </c>
      <c r="C2931" t="s">
        <v>2103</v>
      </c>
      <c r="D2931" t="str">
        <f>HYPERLINK("https://rhld.insurance.arkansas.gov/NPILookup?Npi=1629690797","1629690797")</f>
        <v>1629690797</v>
      </c>
      <c r="E2931" t="s">
        <v>2931</v>
      </c>
      <c r="F2931" t="s">
        <v>12</v>
      </c>
      <c r="G2931" s="20">
        <v>1</v>
      </c>
      <c r="H2931" t="s">
        <v>4349</v>
      </c>
      <c r="I2931" t="s">
        <v>4357</v>
      </c>
      <c r="J2931" s="9"/>
      <c r="K2931" s="9"/>
      <c r="L2931" s="9"/>
    </row>
    <row r="2932" spans="2:12" ht="15" x14ac:dyDescent="0.25">
      <c r="B2932" t="s">
        <v>2102</v>
      </c>
      <c r="C2932" t="s">
        <v>2103</v>
      </c>
      <c r="D2932" t="str">
        <f>HYPERLINK("https://rhld.insurance.arkansas.gov/NPILookup?Npi=1629719018","1629719018")</f>
        <v>1629719018</v>
      </c>
      <c r="E2932" t="s">
        <v>2932</v>
      </c>
      <c r="F2932" t="s">
        <v>13</v>
      </c>
      <c r="G2932" s="20">
        <v>1</v>
      </c>
      <c r="H2932" t="s">
        <v>4357</v>
      </c>
      <c r="I2932" t="s">
        <v>4357</v>
      </c>
      <c r="J2932" s="9"/>
      <c r="K2932" s="9"/>
      <c r="L2932" s="9"/>
    </row>
    <row r="2933" spans="2:12" ht="15" x14ac:dyDescent="0.25">
      <c r="B2933" t="s">
        <v>2102</v>
      </c>
      <c r="C2933" t="s">
        <v>2103</v>
      </c>
      <c r="D2933" t="str">
        <f>HYPERLINK("https://rhld.insurance.arkansas.gov/NPILookup?Npi=1629784251","1629784251")</f>
        <v>1629784251</v>
      </c>
      <c r="E2933" t="s">
        <v>2933</v>
      </c>
      <c r="F2933" t="s">
        <v>12</v>
      </c>
      <c r="G2933" s="20">
        <v>1</v>
      </c>
      <c r="H2933" t="s">
        <v>4338</v>
      </c>
      <c r="I2933" t="s">
        <v>32</v>
      </c>
      <c r="J2933" s="9"/>
      <c r="K2933" s="9"/>
      <c r="L2933" s="9"/>
    </row>
    <row r="2934" spans="2:12" ht="15" x14ac:dyDescent="0.25">
      <c r="B2934" t="s">
        <v>2102</v>
      </c>
      <c r="C2934" t="s">
        <v>2103</v>
      </c>
      <c r="D2934" t="str">
        <f>HYPERLINK("https://rhld.insurance.arkansas.gov/NPILookup?Npi=1629788013","1629788013")</f>
        <v>1629788013</v>
      </c>
      <c r="E2934" t="s">
        <v>2934</v>
      </c>
      <c r="F2934" t="s">
        <v>12</v>
      </c>
      <c r="G2934" s="20">
        <v>1</v>
      </c>
      <c r="H2934" t="s">
        <v>4338</v>
      </c>
      <c r="I2934" t="s">
        <v>32</v>
      </c>
      <c r="J2934" s="9"/>
      <c r="K2934" s="9"/>
      <c r="L2934" s="9"/>
    </row>
    <row r="2935" spans="2:12" ht="15" x14ac:dyDescent="0.25">
      <c r="B2935" t="s">
        <v>2102</v>
      </c>
      <c r="C2935" t="s">
        <v>2103</v>
      </c>
      <c r="D2935" t="str">
        <f>HYPERLINK("https://rhld.insurance.arkansas.gov/NPILookup?Npi=1629802772","1629802772")</f>
        <v>1629802772</v>
      </c>
      <c r="E2935" t="s">
        <v>2935</v>
      </c>
      <c r="F2935" t="s">
        <v>13</v>
      </c>
      <c r="G2935" s="20">
        <v>1</v>
      </c>
      <c r="H2935" t="s">
        <v>4357</v>
      </c>
      <c r="I2935" t="s">
        <v>4357</v>
      </c>
      <c r="J2935" s="9"/>
      <c r="K2935" s="9"/>
      <c r="L2935" s="9"/>
    </row>
    <row r="2936" spans="2:12" ht="15" x14ac:dyDescent="0.25">
      <c r="B2936" t="s">
        <v>2102</v>
      </c>
      <c r="C2936" t="s">
        <v>2103</v>
      </c>
      <c r="D2936" t="str">
        <f>HYPERLINK("https://rhld.insurance.arkansas.gov/NPILookup?Npi=1629847132","1629847132")</f>
        <v>1629847132</v>
      </c>
      <c r="E2936" t="s">
        <v>2936</v>
      </c>
      <c r="F2936" t="s">
        <v>13</v>
      </c>
      <c r="G2936" s="20">
        <v>1</v>
      </c>
      <c r="H2936" t="s">
        <v>4357</v>
      </c>
      <c r="I2936" t="s">
        <v>4357</v>
      </c>
      <c r="J2936" s="9"/>
      <c r="K2936" s="9"/>
      <c r="L2936" s="9"/>
    </row>
    <row r="2937" spans="2:12" ht="15" x14ac:dyDescent="0.25">
      <c r="B2937" t="s">
        <v>2102</v>
      </c>
      <c r="C2937" t="s">
        <v>2103</v>
      </c>
      <c r="D2937" t="str">
        <f>HYPERLINK("https://rhld.insurance.arkansas.gov/NPILookup?Npi=1639105182","1639105182")</f>
        <v>1639105182</v>
      </c>
      <c r="E2937" t="s">
        <v>2937</v>
      </c>
      <c r="F2937" t="s">
        <v>13</v>
      </c>
      <c r="G2937" s="20">
        <v>1</v>
      </c>
      <c r="H2937" t="s">
        <v>4357</v>
      </c>
      <c r="I2937" t="s">
        <v>4357</v>
      </c>
      <c r="J2937" s="9"/>
      <c r="K2937" s="9"/>
      <c r="L2937" s="9"/>
    </row>
    <row r="2938" spans="2:12" ht="15" x14ac:dyDescent="0.25">
      <c r="B2938" t="s">
        <v>2102</v>
      </c>
      <c r="C2938" t="s">
        <v>2103</v>
      </c>
      <c r="D2938" t="str">
        <f>HYPERLINK("https://rhld.insurance.arkansas.gov/NPILookup?Npi=1639113103","1639113103")</f>
        <v>1639113103</v>
      </c>
      <c r="E2938" t="s">
        <v>2938</v>
      </c>
      <c r="F2938" t="s">
        <v>12</v>
      </c>
      <c r="G2938" s="20">
        <v>1</v>
      </c>
      <c r="H2938" t="s">
        <v>4349</v>
      </c>
      <c r="I2938" t="s">
        <v>4357</v>
      </c>
      <c r="J2938" s="9"/>
      <c r="K2938" s="9"/>
      <c r="L2938" s="9"/>
    </row>
    <row r="2939" spans="2:12" ht="15" x14ac:dyDescent="0.25">
      <c r="B2939" t="s">
        <v>2102</v>
      </c>
      <c r="C2939" t="s">
        <v>2103</v>
      </c>
      <c r="D2939" t="str">
        <f>HYPERLINK("https://rhld.insurance.arkansas.gov/NPILookup?Npi=1639198229","1639198229")</f>
        <v>1639198229</v>
      </c>
      <c r="E2939" t="s">
        <v>2939</v>
      </c>
      <c r="F2939" t="s">
        <v>12</v>
      </c>
      <c r="G2939" s="20">
        <v>1</v>
      </c>
      <c r="H2939" t="s">
        <v>4338</v>
      </c>
      <c r="I2939" t="s">
        <v>32</v>
      </c>
      <c r="J2939" s="9"/>
      <c r="K2939" s="9"/>
      <c r="L2939" s="9"/>
    </row>
    <row r="2940" spans="2:12" ht="15" x14ac:dyDescent="0.25">
      <c r="B2940" t="s">
        <v>2102</v>
      </c>
      <c r="C2940" t="s">
        <v>2103</v>
      </c>
      <c r="D2940" t="str">
        <f>HYPERLINK("https://rhld.insurance.arkansas.gov/NPILookup?Npi=1639198591","1639198591")</f>
        <v>1639198591</v>
      </c>
      <c r="E2940" t="s">
        <v>4584</v>
      </c>
      <c r="F2940" t="s">
        <v>12</v>
      </c>
      <c r="G2940" s="20">
        <v>1</v>
      </c>
      <c r="H2940" t="s">
        <v>4349</v>
      </c>
      <c r="I2940" t="s">
        <v>32</v>
      </c>
      <c r="J2940" s="9"/>
      <c r="K2940" s="9"/>
      <c r="L2940" s="9"/>
    </row>
    <row r="2941" spans="2:12" ht="15" x14ac:dyDescent="0.25">
      <c r="B2941" t="s">
        <v>2102</v>
      </c>
      <c r="C2941" t="s">
        <v>2103</v>
      </c>
      <c r="D2941" t="str">
        <f>HYPERLINK("https://rhld.insurance.arkansas.gov/NPILookup?Npi=1639306293","1639306293")</f>
        <v>1639306293</v>
      </c>
      <c r="E2941" t="s">
        <v>2940</v>
      </c>
      <c r="F2941" t="s">
        <v>12</v>
      </c>
      <c r="G2941" s="20">
        <v>1</v>
      </c>
      <c r="H2941" t="s">
        <v>4349</v>
      </c>
      <c r="I2941" t="s">
        <v>32</v>
      </c>
      <c r="J2941" s="9"/>
      <c r="K2941" s="9"/>
      <c r="L2941" s="9"/>
    </row>
    <row r="2942" spans="2:12" ht="15" x14ac:dyDescent="0.25">
      <c r="B2942" t="s">
        <v>2102</v>
      </c>
      <c r="C2942" t="s">
        <v>2103</v>
      </c>
      <c r="D2942" t="str">
        <f>HYPERLINK("https://rhld.insurance.arkansas.gov/NPILookup?Npi=1639370851","1639370851")</f>
        <v>1639370851</v>
      </c>
      <c r="E2942" t="s">
        <v>3897</v>
      </c>
      <c r="F2942" t="s">
        <v>12</v>
      </c>
      <c r="G2942" s="20">
        <v>1</v>
      </c>
      <c r="H2942" t="s">
        <v>4349</v>
      </c>
      <c r="I2942" t="s">
        <v>32</v>
      </c>
      <c r="J2942" s="9"/>
      <c r="K2942" s="9"/>
      <c r="L2942" s="9"/>
    </row>
    <row r="2943" spans="2:12" ht="15" x14ac:dyDescent="0.25">
      <c r="B2943" t="s">
        <v>2102</v>
      </c>
      <c r="C2943" t="s">
        <v>2103</v>
      </c>
      <c r="D2943" t="str">
        <f>HYPERLINK("https://rhld.insurance.arkansas.gov/NPILookup?Npi=1639387178","1639387178")</f>
        <v>1639387178</v>
      </c>
      <c r="E2943" t="s">
        <v>4585</v>
      </c>
      <c r="F2943" t="s">
        <v>12</v>
      </c>
      <c r="G2943" s="20">
        <v>1</v>
      </c>
      <c r="H2943" t="s">
        <v>4349</v>
      </c>
      <c r="I2943" t="s">
        <v>4357</v>
      </c>
      <c r="J2943" s="9"/>
      <c r="K2943" s="9"/>
      <c r="L2943" s="9"/>
    </row>
    <row r="2944" spans="2:12" ht="15" x14ac:dyDescent="0.25">
      <c r="B2944" t="s">
        <v>2102</v>
      </c>
      <c r="C2944" t="s">
        <v>2103</v>
      </c>
      <c r="D2944" t="str">
        <f>HYPERLINK("https://rhld.insurance.arkansas.gov/NPILookup?Npi=1639433469","1639433469")</f>
        <v>1639433469</v>
      </c>
      <c r="E2944" t="s">
        <v>2941</v>
      </c>
      <c r="F2944" t="s">
        <v>13</v>
      </c>
      <c r="G2944" s="20">
        <v>1</v>
      </c>
      <c r="H2944" t="s">
        <v>4357</v>
      </c>
      <c r="I2944" t="s">
        <v>4357</v>
      </c>
      <c r="J2944" s="9"/>
      <c r="K2944" s="9"/>
      <c r="L2944" s="9"/>
    </row>
    <row r="2945" spans="2:12" ht="15" x14ac:dyDescent="0.25">
      <c r="B2945" t="s">
        <v>2102</v>
      </c>
      <c r="C2945" t="s">
        <v>2103</v>
      </c>
      <c r="D2945" t="str">
        <f>HYPERLINK("https://rhld.insurance.arkansas.gov/NPILookup?Npi=1639560733","1639560733")</f>
        <v>1639560733</v>
      </c>
      <c r="E2945" t="s">
        <v>2942</v>
      </c>
      <c r="F2945" t="s">
        <v>12</v>
      </c>
      <c r="G2945" s="20">
        <v>1</v>
      </c>
      <c r="H2945" t="s">
        <v>139</v>
      </c>
      <c r="I2945" t="s">
        <v>32</v>
      </c>
      <c r="J2945" s="9"/>
      <c r="K2945" s="9"/>
      <c r="L2945" s="9"/>
    </row>
    <row r="2946" spans="2:12" ht="15" x14ac:dyDescent="0.25">
      <c r="B2946" t="s">
        <v>2102</v>
      </c>
      <c r="C2946" t="s">
        <v>2103</v>
      </c>
      <c r="D2946" t="str">
        <f>HYPERLINK("https://rhld.insurance.arkansas.gov/NPILookup?Npi=1639654213","1639654213")</f>
        <v>1639654213</v>
      </c>
      <c r="E2946" t="s">
        <v>2944</v>
      </c>
      <c r="F2946" t="s">
        <v>12</v>
      </c>
      <c r="G2946" s="20">
        <v>1</v>
      </c>
      <c r="H2946" t="s">
        <v>4338</v>
      </c>
      <c r="I2946" t="s">
        <v>32</v>
      </c>
      <c r="J2946" s="9"/>
      <c r="K2946" s="9"/>
      <c r="L2946" s="9"/>
    </row>
    <row r="2947" spans="2:12" ht="15" x14ac:dyDescent="0.25">
      <c r="B2947" t="s">
        <v>2102</v>
      </c>
      <c r="C2947" t="s">
        <v>2103</v>
      </c>
      <c r="D2947" t="str">
        <f>HYPERLINK("https://rhld.insurance.arkansas.gov/NPILookup?Npi=1639674526","1639674526")</f>
        <v>1639674526</v>
      </c>
      <c r="E2947" t="s">
        <v>736</v>
      </c>
      <c r="F2947" t="s">
        <v>12</v>
      </c>
      <c r="G2947" s="20">
        <v>1</v>
      </c>
      <c r="H2947" t="s">
        <v>4338</v>
      </c>
      <c r="I2947" t="s">
        <v>32</v>
      </c>
      <c r="J2947" s="9"/>
      <c r="K2947" s="9"/>
      <c r="L2947" s="9"/>
    </row>
    <row r="2948" spans="2:12" ht="15" x14ac:dyDescent="0.25">
      <c r="B2948" t="s">
        <v>2102</v>
      </c>
      <c r="C2948" t="s">
        <v>2103</v>
      </c>
      <c r="D2948" t="str">
        <f>HYPERLINK("https://rhld.insurance.arkansas.gov/NPILookup?Npi=1639679970","1639679970")</f>
        <v>1639679970</v>
      </c>
      <c r="E2948" t="s">
        <v>2945</v>
      </c>
      <c r="F2948" t="s">
        <v>13</v>
      </c>
      <c r="G2948" s="20">
        <v>1</v>
      </c>
      <c r="H2948" t="s">
        <v>4357</v>
      </c>
      <c r="I2948" t="s">
        <v>4357</v>
      </c>
      <c r="J2948" s="9"/>
      <c r="K2948" s="9"/>
      <c r="L2948" s="9"/>
    </row>
    <row r="2949" spans="2:12" ht="15" x14ac:dyDescent="0.25">
      <c r="B2949" t="s">
        <v>2102</v>
      </c>
      <c r="C2949" t="s">
        <v>2103</v>
      </c>
      <c r="D2949" t="str">
        <f>HYPERLINK("https://rhld.insurance.arkansas.gov/NPILookup?Npi=1639699770","1639699770")</f>
        <v>1639699770</v>
      </c>
      <c r="E2949" t="s">
        <v>2946</v>
      </c>
      <c r="F2949" t="s">
        <v>12</v>
      </c>
      <c r="G2949" s="20">
        <v>1</v>
      </c>
      <c r="H2949" t="s">
        <v>4349</v>
      </c>
      <c r="I2949" t="s">
        <v>32</v>
      </c>
      <c r="J2949" s="9"/>
      <c r="K2949" s="9"/>
      <c r="L2949" s="9"/>
    </row>
    <row r="2950" spans="2:12" ht="15" x14ac:dyDescent="0.25">
      <c r="B2950" t="s">
        <v>2102</v>
      </c>
      <c r="C2950" t="s">
        <v>2103</v>
      </c>
      <c r="D2950" t="str">
        <f>HYPERLINK("https://rhld.insurance.arkansas.gov/NPILookup?Npi=1639829559","1639829559")</f>
        <v>1639829559</v>
      </c>
      <c r="E2950" t="s">
        <v>738</v>
      </c>
      <c r="F2950" t="s">
        <v>13</v>
      </c>
      <c r="G2950" s="20">
        <v>1</v>
      </c>
      <c r="H2950" t="s">
        <v>4357</v>
      </c>
      <c r="I2950" t="s">
        <v>4357</v>
      </c>
      <c r="J2950" s="9"/>
      <c r="K2950" s="9"/>
      <c r="L2950" s="9"/>
    </row>
    <row r="2951" spans="2:12" ht="15" x14ac:dyDescent="0.25">
      <c r="B2951" t="s">
        <v>2102</v>
      </c>
      <c r="C2951" t="s">
        <v>2103</v>
      </c>
      <c r="D2951" t="str">
        <f>HYPERLINK("https://rhld.insurance.arkansas.gov/NPILookup?Npi=1639909955","1639909955")</f>
        <v>1639909955</v>
      </c>
      <c r="E2951" t="s">
        <v>2949</v>
      </c>
      <c r="F2951" t="s">
        <v>13</v>
      </c>
      <c r="G2951" s="20">
        <v>1</v>
      </c>
      <c r="H2951" t="s">
        <v>4357</v>
      </c>
      <c r="I2951" t="s">
        <v>4357</v>
      </c>
      <c r="J2951" s="9"/>
      <c r="K2951" s="9"/>
      <c r="L2951" s="9"/>
    </row>
    <row r="2952" spans="2:12" ht="15" x14ac:dyDescent="0.25">
      <c r="B2952" t="s">
        <v>2102</v>
      </c>
      <c r="C2952" t="s">
        <v>2103</v>
      </c>
      <c r="D2952" t="str">
        <f>HYPERLINK("https://rhld.insurance.arkansas.gov/NPILookup?Npi=1639989304","1639989304")</f>
        <v>1639989304</v>
      </c>
      <c r="E2952" t="s">
        <v>2088</v>
      </c>
      <c r="F2952" t="s">
        <v>13</v>
      </c>
      <c r="G2952" s="20">
        <v>1</v>
      </c>
      <c r="H2952" t="s">
        <v>4357</v>
      </c>
      <c r="I2952" t="s">
        <v>4357</v>
      </c>
      <c r="J2952" s="9"/>
      <c r="K2952" s="9"/>
      <c r="L2952" s="9"/>
    </row>
    <row r="2953" spans="2:12" ht="15" x14ac:dyDescent="0.25">
      <c r="B2953" t="s">
        <v>2102</v>
      </c>
      <c r="C2953" t="s">
        <v>2103</v>
      </c>
      <c r="D2953" t="str">
        <f>HYPERLINK("https://rhld.insurance.arkansas.gov/NPILookup?Npi=1649012766","1649012766")</f>
        <v>1649012766</v>
      </c>
      <c r="E2953" t="s">
        <v>2950</v>
      </c>
      <c r="F2953" t="s">
        <v>13</v>
      </c>
      <c r="G2953" s="20">
        <v>1</v>
      </c>
      <c r="H2953" t="s">
        <v>4357</v>
      </c>
      <c r="I2953" t="s">
        <v>4357</v>
      </c>
      <c r="J2953" s="9"/>
      <c r="K2953" s="9"/>
      <c r="L2953" s="9"/>
    </row>
    <row r="2954" spans="2:12" ht="15" x14ac:dyDescent="0.25">
      <c r="B2954" t="s">
        <v>2102</v>
      </c>
      <c r="C2954" t="s">
        <v>2103</v>
      </c>
      <c r="D2954" t="str">
        <f>HYPERLINK("https://rhld.insurance.arkansas.gov/NPILookup?Npi=1649018375","1649018375")</f>
        <v>1649018375</v>
      </c>
      <c r="E2954" t="s">
        <v>2089</v>
      </c>
      <c r="F2954" t="s">
        <v>13</v>
      </c>
      <c r="G2954" s="20">
        <v>1</v>
      </c>
      <c r="H2954" t="s">
        <v>4357</v>
      </c>
      <c r="I2954" t="s">
        <v>4357</v>
      </c>
      <c r="J2954" s="9"/>
      <c r="K2954" s="9"/>
      <c r="L2954" s="9"/>
    </row>
    <row r="2955" spans="2:12" ht="15" x14ac:dyDescent="0.25">
      <c r="B2955" t="s">
        <v>2102</v>
      </c>
      <c r="C2955" t="s">
        <v>2103</v>
      </c>
      <c r="D2955" t="str">
        <f>HYPERLINK("https://rhld.insurance.arkansas.gov/NPILookup?Npi=1649275629","1649275629")</f>
        <v>1649275629</v>
      </c>
      <c r="E2955" t="s">
        <v>124</v>
      </c>
      <c r="F2955" t="s">
        <v>12</v>
      </c>
      <c r="G2955" s="20">
        <v>1</v>
      </c>
      <c r="H2955" t="s">
        <v>4349</v>
      </c>
      <c r="I2955" t="s">
        <v>32</v>
      </c>
      <c r="J2955" s="9"/>
      <c r="K2955" s="9"/>
      <c r="L2955" s="9"/>
    </row>
    <row r="2956" spans="2:12" ht="15" x14ac:dyDescent="0.25">
      <c r="B2956" t="s">
        <v>2102</v>
      </c>
      <c r="C2956" t="s">
        <v>2103</v>
      </c>
      <c r="D2956" t="str">
        <f>HYPERLINK("https://rhld.insurance.arkansas.gov/NPILookup?Npi=1649294554","1649294554")</f>
        <v>1649294554</v>
      </c>
      <c r="E2956" t="s">
        <v>739</v>
      </c>
      <c r="F2956" t="s">
        <v>12</v>
      </c>
      <c r="G2956" s="20">
        <v>1</v>
      </c>
      <c r="H2956" t="s">
        <v>4349</v>
      </c>
      <c r="I2956" t="s">
        <v>4357</v>
      </c>
      <c r="J2956" s="9"/>
      <c r="K2956" s="9"/>
      <c r="L2956" s="9"/>
    </row>
    <row r="2957" spans="2:12" ht="15" x14ac:dyDescent="0.25">
      <c r="B2957" t="s">
        <v>2102</v>
      </c>
      <c r="C2957" t="s">
        <v>2103</v>
      </c>
      <c r="D2957" t="str">
        <f>HYPERLINK("https://rhld.insurance.arkansas.gov/NPILookup?Npi=1649335092","1649335092")</f>
        <v>1649335092</v>
      </c>
      <c r="E2957" t="s">
        <v>2951</v>
      </c>
      <c r="F2957" t="s">
        <v>12</v>
      </c>
      <c r="G2957" s="20">
        <v>1</v>
      </c>
      <c r="H2957" t="s">
        <v>4349</v>
      </c>
      <c r="I2957" t="s">
        <v>32</v>
      </c>
      <c r="J2957" s="9"/>
      <c r="K2957" s="9"/>
      <c r="L2957" s="9"/>
    </row>
    <row r="2958" spans="2:12" ht="15" x14ac:dyDescent="0.25">
      <c r="B2958" t="s">
        <v>2102</v>
      </c>
      <c r="C2958" t="s">
        <v>2103</v>
      </c>
      <c r="D2958" t="str">
        <f>HYPERLINK("https://rhld.insurance.arkansas.gov/NPILookup?Npi=1649374208","1649374208")</f>
        <v>1649374208</v>
      </c>
      <c r="E2958" t="s">
        <v>741</v>
      </c>
      <c r="F2958" t="s">
        <v>12</v>
      </c>
      <c r="G2958" s="20">
        <v>1</v>
      </c>
      <c r="H2958" t="s">
        <v>139</v>
      </c>
      <c r="I2958" t="s">
        <v>32</v>
      </c>
      <c r="J2958" s="9"/>
      <c r="K2958" s="9"/>
      <c r="L2958" s="9"/>
    </row>
    <row r="2959" spans="2:12" ht="15" x14ac:dyDescent="0.25">
      <c r="B2959" t="s">
        <v>2102</v>
      </c>
      <c r="C2959" t="s">
        <v>2103</v>
      </c>
      <c r="D2959" t="str">
        <f>HYPERLINK("https://rhld.insurance.arkansas.gov/NPILookup?Npi=1649430190","1649430190")</f>
        <v>1649430190</v>
      </c>
      <c r="E2959" t="s">
        <v>2952</v>
      </c>
      <c r="F2959" t="s">
        <v>12</v>
      </c>
      <c r="G2959" s="20">
        <v>1</v>
      </c>
      <c r="H2959" t="s">
        <v>4338</v>
      </c>
      <c r="I2959" t="s">
        <v>32</v>
      </c>
      <c r="J2959" s="9"/>
      <c r="K2959" s="9"/>
      <c r="L2959" s="9"/>
    </row>
    <row r="2960" spans="2:12" ht="15" x14ac:dyDescent="0.25">
      <c r="B2960" t="s">
        <v>2102</v>
      </c>
      <c r="C2960" t="s">
        <v>2103</v>
      </c>
      <c r="D2960" t="str">
        <f>HYPERLINK("https://rhld.insurance.arkansas.gov/NPILookup?Npi=1649437633","1649437633")</f>
        <v>1649437633</v>
      </c>
      <c r="E2960" t="s">
        <v>2953</v>
      </c>
      <c r="F2960" t="s">
        <v>12</v>
      </c>
      <c r="G2960" s="20">
        <v>1</v>
      </c>
      <c r="H2960" t="s">
        <v>4349</v>
      </c>
      <c r="I2960" t="s">
        <v>32</v>
      </c>
      <c r="J2960" s="9"/>
      <c r="K2960" s="9"/>
      <c r="L2960" s="9"/>
    </row>
    <row r="2961" spans="2:12" ht="15" x14ac:dyDescent="0.25">
      <c r="B2961" t="s">
        <v>2102</v>
      </c>
      <c r="C2961" t="s">
        <v>2103</v>
      </c>
      <c r="D2961" t="str">
        <f>HYPERLINK("https://rhld.insurance.arkansas.gov/NPILookup?Npi=1649444365","1649444365")</f>
        <v>1649444365</v>
      </c>
      <c r="E2961" t="s">
        <v>2954</v>
      </c>
      <c r="F2961" t="s">
        <v>12</v>
      </c>
      <c r="G2961" s="20">
        <v>1</v>
      </c>
      <c r="H2961" t="s">
        <v>4349</v>
      </c>
      <c r="I2961" t="s">
        <v>4357</v>
      </c>
      <c r="J2961" s="9"/>
      <c r="K2961" s="9"/>
      <c r="L2961" s="9"/>
    </row>
    <row r="2962" spans="2:12" ht="15" x14ac:dyDescent="0.25">
      <c r="B2962" t="s">
        <v>2102</v>
      </c>
      <c r="C2962" t="s">
        <v>2103</v>
      </c>
      <c r="D2962" t="str">
        <f>HYPERLINK("https://rhld.insurance.arkansas.gov/NPILookup?Npi=1649512146","1649512146")</f>
        <v>1649512146</v>
      </c>
      <c r="E2962" t="s">
        <v>2955</v>
      </c>
      <c r="F2962" t="s">
        <v>12</v>
      </c>
      <c r="G2962" s="20">
        <v>1</v>
      </c>
      <c r="H2962" t="s">
        <v>4338</v>
      </c>
      <c r="I2962" t="s">
        <v>32</v>
      </c>
      <c r="J2962" s="9"/>
      <c r="K2962" s="9"/>
      <c r="L2962" s="9"/>
    </row>
    <row r="2963" spans="2:12" ht="15" x14ac:dyDescent="0.25">
      <c r="B2963" t="s">
        <v>2102</v>
      </c>
      <c r="C2963" t="s">
        <v>2103</v>
      </c>
      <c r="D2963" t="str">
        <f>HYPERLINK("https://rhld.insurance.arkansas.gov/NPILookup?Npi=1649513847","1649513847")</f>
        <v>1649513847</v>
      </c>
      <c r="E2963" t="s">
        <v>4586</v>
      </c>
      <c r="F2963" t="s">
        <v>12</v>
      </c>
      <c r="G2963" s="20">
        <v>1</v>
      </c>
      <c r="H2963" t="s">
        <v>4349</v>
      </c>
      <c r="I2963" t="s">
        <v>32</v>
      </c>
      <c r="J2963" s="9"/>
      <c r="K2963" s="9"/>
      <c r="L2963" s="9"/>
    </row>
    <row r="2964" spans="2:12" ht="15" x14ac:dyDescent="0.25">
      <c r="B2964" t="s">
        <v>2102</v>
      </c>
      <c r="C2964" t="s">
        <v>2103</v>
      </c>
      <c r="D2964" t="str">
        <f>HYPERLINK("https://rhld.insurance.arkansas.gov/NPILookup?Npi=1649624214","1649624214")</f>
        <v>1649624214</v>
      </c>
      <c r="E2964" t="s">
        <v>2958</v>
      </c>
      <c r="F2964" t="s">
        <v>12</v>
      </c>
      <c r="G2964" s="20">
        <v>1</v>
      </c>
      <c r="H2964" t="s">
        <v>4349</v>
      </c>
      <c r="I2964" t="s">
        <v>4357</v>
      </c>
      <c r="J2964" s="9"/>
      <c r="K2964" s="9"/>
      <c r="L2964" s="9"/>
    </row>
    <row r="2965" spans="2:12" ht="15" x14ac:dyDescent="0.25">
      <c r="B2965" t="s">
        <v>2102</v>
      </c>
      <c r="C2965" t="s">
        <v>2103</v>
      </c>
      <c r="D2965" t="str">
        <f>HYPERLINK("https://rhld.insurance.arkansas.gov/NPILookup?Npi=1649653544","1649653544")</f>
        <v>1649653544</v>
      </c>
      <c r="E2965" t="s">
        <v>2959</v>
      </c>
      <c r="F2965" t="s">
        <v>12</v>
      </c>
      <c r="G2965" s="20">
        <v>1</v>
      </c>
      <c r="H2965" t="s">
        <v>4349</v>
      </c>
      <c r="I2965" t="s">
        <v>32</v>
      </c>
      <c r="J2965" s="9"/>
      <c r="K2965" s="9"/>
      <c r="L2965" s="9"/>
    </row>
    <row r="2966" spans="2:12" ht="15" x14ac:dyDescent="0.25">
      <c r="B2966" t="s">
        <v>2102</v>
      </c>
      <c r="C2966" t="s">
        <v>2103</v>
      </c>
      <c r="D2966" t="str">
        <f>HYPERLINK("https://rhld.insurance.arkansas.gov/NPILookup?Npi=1649851056","1649851056")</f>
        <v>1649851056</v>
      </c>
      <c r="E2966" t="s">
        <v>2961</v>
      </c>
      <c r="F2966" t="s">
        <v>13</v>
      </c>
      <c r="G2966" s="20">
        <v>1</v>
      </c>
      <c r="H2966" t="s">
        <v>4357</v>
      </c>
      <c r="I2966" t="s">
        <v>4357</v>
      </c>
      <c r="J2966" s="9"/>
      <c r="K2966" s="9"/>
      <c r="L2966" s="9"/>
    </row>
    <row r="2967" spans="2:12" ht="15" x14ac:dyDescent="0.25">
      <c r="B2967" t="s">
        <v>2102</v>
      </c>
      <c r="C2967" t="s">
        <v>2103</v>
      </c>
      <c r="D2967" t="str">
        <f>HYPERLINK("https://rhld.insurance.arkansas.gov/NPILookup?Npi=1649907593","1649907593")</f>
        <v>1649907593</v>
      </c>
      <c r="E2967" t="s">
        <v>2962</v>
      </c>
      <c r="F2967" t="s">
        <v>12</v>
      </c>
      <c r="G2967" s="20">
        <v>1</v>
      </c>
      <c r="H2967" t="s">
        <v>4338</v>
      </c>
      <c r="I2967" t="s">
        <v>32</v>
      </c>
      <c r="J2967" s="9"/>
      <c r="K2967" s="9"/>
      <c r="L2967" s="9"/>
    </row>
    <row r="2968" spans="2:12" ht="15" x14ac:dyDescent="0.25">
      <c r="B2968" t="s">
        <v>2102</v>
      </c>
      <c r="C2968" t="s">
        <v>2103</v>
      </c>
      <c r="D2968" t="str">
        <f>HYPERLINK("https://rhld.insurance.arkansas.gov/NPILookup?Npi=1659131035","1659131035")</f>
        <v>1659131035</v>
      </c>
      <c r="E2968" t="s">
        <v>2963</v>
      </c>
      <c r="F2968" t="s">
        <v>13</v>
      </c>
      <c r="G2968" s="20">
        <v>1</v>
      </c>
      <c r="H2968" t="s">
        <v>4357</v>
      </c>
      <c r="I2968" t="s">
        <v>4357</v>
      </c>
      <c r="J2968" s="9"/>
      <c r="K2968" s="9"/>
      <c r="L2968" s="9"/>
    </row>
    <row r="2969" spans="2:12" ht="15" x14ac:dyDescent="0.25">
      <c r="B2969" t="s">
        <v>2102</v>
      </c>
      <c r="C2969" t="s">
        <v>2103</v>
      </c>
      <c r="D2969" t="str">
        <f>HYPERLINK("https://rhld.insurance.arkansas.gov/NPILookup?Npi=1659140309","1659140309")</f>
        <v>1659140309</v>
      </c>
      <c r="E2969" t="s">
        <v>2964</v>
      </c>
      <c r="F2969" t="s">
        <v>13</v>
      </c>
      <c r="G2969" s="20">
        <v>1</v>
      </c>
      <c r="H2969" t="s">
        <v>4357</v>
      </c>
      <c r="I2969" t="s">
        <v>4357</v>
      </c>
      <c r="J2969" s="9"/>
      <c r="K2969" s="9"/>
      <c r="L2969" s="9"/>
    </row>
    <row r="2970" spans="2:12" ht="15" x14ac:dyDescent="0.25">
      <c r="B2970" t="s">
        <v>2102</v>
      </c>
      <c r="C2970" t="s">
        <v>2103</v>
      </c>
      <c r="D2970" t="str">
        <f>HYPERLINK("https://rhld.insurance.arkansas.gov/NPILookup?Npi=1659199503","1659199503")</f>
        <v>1659199503</v>
      </c>
      <c r="E2970" t="s">
        <v>2965</v>
      </c>
      <c r="F2970" t="s">
        <v>13</v>
      </c>
      <c r="G2970" s="20">
        <v>1</v>
      </c>
      <c r="H2970" t="s">
        <v>4357</v>
      </c>
      <c r="I2970" t="s">
        <v>4357</v>
      </c>
      <c r="J2970" s="9"/>
      <c r="K2970" s="9"/>
      <c r="L2970" s="9"/>
    </row>
    <row r="2971" spans="2:12" ht="15" x14ac:dyDescent="0.25">
      <c r="B2971" t="s">
        <v>2102</v>
      </c>
      <c r="C2971" t="s">
        <v>2103</v>
      </c>
      <c r="D2971" t="str">
        <f>HYPERLINK("https://rhld.insurance.arkansas.gov/NPILookup?Npi=1659345288","1659345288")</f>
        <v>1659345288</v>
      </c>
      <c r="E2971" t="s">
        <v>2967</v>
      </c>
      <c r="F2971" t="s">
        <v>13</v>
      </c>
      <c r="G2971" s="20">
        <v>1</v>
      </c>
      <c r="H2971" t="s">
        <v>4357</v>
      </c>
      <c r="I2971" t="s">
        <v>4357</v>
      </c>
      <c r="J2971" s="9"/>
      <c r="K2971" s="9"/>
      <c r="L2971" s="9"/>
    </row>
    <row r="2972" spans="2:12" ht="15" x14ac:dyDescent="0.25">
      <c r="B2972" t="s">
        <v>2102</v>
      </c>
      <c r="C2972" t="s">
        <v>2103</v>
      </c>
      <c r="D2972" t="str">
        <f>HYPERLINK("https://rhld.insurance.arkansas.gov/NPILookup?Npi=1659376960","1659376960")</f>
        <v>1659376960</v>
      </c>
      <c r="E2972" t="s">
        <v>2970</v>
      </c>
      <c r="F2972" t="s">
        <v>12</v>
      </c>
      <c r="G2972" s="20">
        <v>1</v>
      </c>
      <c r="H2972" t="s">
        <v>4349</v>
      </c>
      <c r="I2972" t="s">
        <v>32</v>
      </c>
      <c r="J2972" s="9"/>
      <c r="K2972" s="9"/>
      <c r="L2972" s="9"/>
    </row>
    <row r="2973" spans="2:12" ht="15" x14ac:dyDescent="0.25">
      <c r="B2973" t="s">
        <v>2102</v>
      </c>
      <c r="C2973" t="s">
        <v>2103</v>
      </c>
      <c r="D2973" t="str">
        <f>HYPERLINK("https://rhld.insurance.arkansas.gov/NPILookup?Npi=1659387181","1659387181")</f>
        <v>1659387181</v>
      </c>
      <c r="E2973" t="s">
        <v>2971</v>
      </c>
      <c r="F2973" t="s">
        <v>12</v>
      </c>
      <c r="G2973" s="20">
        <v>1</v>
      </c>
      <c r="H2973" t="s">
        <v>4349</v>
      </c>
      <c r="I2973" t="s">
        <v>32</v>
      </c>
      <c r="J2973" s="9"/>
      <c r="K2973" s="9"/>
      <c r="L2973" s="9"/>
    </row>
    <row r="2974" spans="2:12" ht="15" x14ac:dyDescent="0.25">
      <c r="B2974" t="s">
        <v>2102</v>
      </c>
      <c r="C2974" t="s">
        <v>2103</v>
      </c>
      <c r="D2974" t="str">
        <f>HYPERLINK("https://rhld.insurance.arkansas.gov/NPILookup?Npi=1659441889","1659441889")</f>
        <v>1659441889</v>
      </c>
      <c r="E2974" t="s">
        <v>1068</v>
      </c>
      <c r="F2974" t="s">
        <v>12</v>
      </c>
      <c r="G2974" s="20">
        <v>1</v>
      </c>
      <c r="H2974" t="s">
        <v>4338</v>
      </c>
      <c r="I2974" t="s">
        <v>4357</v>
      </c>
      <c r="J2974" s="9"/>
      <c r="K2974" s="9"/>
      <c r="L2974" s="9"/>
    </row>
    <row r="2975" spans="2:12" ht="15" x14ac:dyDescent="0.25">
      <c r="B2975" t="s">
        <v>2102</v>
      </c>
      <c r="C2975" t="s">
        <v>2103</v>
      </c>
      <c r="D2975" t="str">
        <f>HYPERLINK("https://rhld.insurance.arkansas.gov/NPILookup?Npi=1659548105","1659548105")</f>
        <v>1659548105</v>
      </c>
      <c r="E2975" t="s">
        <v>2972</v>
      </c>
      <c r="F2975" t="s">
        <v>12</v>
      </c>
      <c r="G2975" s="20">
        <v>1</v>
      </c>
      <c r="H2975" t="s">
        <v>4338</v>
      </c>
      <c r="I2975" t="s">
        <v>32</v>
      </c>
      <c r="J2975" s="9"/>
      <c r="K2975" s="9"/>
      <c r="L2975" s="9"/>
    </row>
    <row r="2976" spans="2:12" ht="15" x14ac:dyDescent="0.25">
      <c r="B2976" t="s">
        <v>2102</v>
      </c>
      <c r="C2976" t="s">
        <v>2103</v>
      </c>
      <c r="D2976" t="str">
        <f>HYPERLINK("https://rhld.insurance.arkansas.gov/NPILookup?Npi=1659577278","1659577278")</f>
        <v>1659577278</v>
      </c>
      <c r="E2976" t="s">
        <v>4587</v>
      </c>
      <c r="F2976" t="s">
        <v>12</v>
      </c>
      <c r="G2976" s="20">
        <v>1</v>
      </c>
      <c r="H2976" t="s">
        <v>4349</v>
      </c>
      <c r="I2976" t="s">
        <v>4357</v>
      </c>
      <c r="J2976" s="9"/>
      <c r="K2976" s="9"/>
      <c r="L2976" s="9"/>
    </row>
    <row r="2977" spans="2:12" ht="15" x14ac:dyDescent="0.25">
      <c r="B2977" t="s">
        <v>2102</v>
      </c>
      <c r="C2977" t="s">
        <v>2103</v>
      </c>
      <c r="D2977" t="str">
        <f>HYPERLINK("https://rhld.insurance.arkansas.gov/NPILookup?Npi=1659623775","1659623775")</f>
        <v>1659623775</v>
      </c>
      <c r="E2977" t="s">
        <v>1768</v>
      </c>
      <c r="F2977" t="s">
        <v>12</v>
      </c>
      <c r="G2977" s="20">
        <v>1</v>
      </c>
      <c r="H2977" t="s">
        <v>4338</v>
      </c>
      <c r="I2977" t="s">
        <v>32</v>
      </c>
      <c r="J2977" s="9"/>
      <c r="K2977" s="9"/>
      <c r="L2977" s="9"/>
    </row>
    <row r="2978" spans="2:12" ht="15" x14ac:dyDescent="0.25">
      <c r="B2978" t="s">
        <v>2102</v>
      </c>
      <c r="C2978" t="s">
        <v>2103</v>
      </c>
      <c r="D2978" t="str">
        <f>HYPERLINK("https://rhld.insurance.arkansas.gov/NPILookup?Npi=1659675296","1659675296")</f>
        <v>1659675296</v>
      </c>
      <c r="E2978" t="s">
        <v>2973</v>
      </c>
      <c r="F2978" t="s">
        <v>12</v>
      </c>
      <c r="G2978" s="20">
        <v>1</v>
      </c>
      <c r="H2978" t="s">
        <v>4349</v>
      </c>
      <c r="I2978" t="s">
        <v>32</v>
      </c>
      <c r="J2978" s="9"/>
      <c r="K2978" s="9"/>
      <c r="L2978" s="9"/>
    </row>
    <row r="2979" spans="2:12" ht="15" x14ac:dyDescent="0.25">
      <c r="B2979" t="s">
        <v>2102</v>
      </c>
      <c r="C2979" t="s">
        <v>2103</v>
      </c>
      <c r="D2979" t="str">
        <f>HYPERLINK("https://rhld.insurance.arkansas.gov/NPILookup?Npi=1659758753","1659758753")</f>
        <v>1659758753</v>
      </c>
      <c r="E2979" t="s">
        <v>2974</v>
      </c>
      <c r="F2979" t="s">
        <v>12</v>
      </c>
      <c r="G2979" s="20">
        <v>1</v>
      </c>
      <c r="H2979" t="s">
        <v>4349</v>
      </c>
      <c r="I2979" t="s">
        <v>32</v>
      </c>
      <c r="J2979" s="9"/>
      <c r="K2979" s="9"/>
      <c r="L2979" s="9"/>
    </row>
    <row r="2980" spans="2:12" ht="15" x14ac:dyDescent="0.25">
      <c r="B2980" t="s">
        <v>2102</v>
      </c>
      <c r="C2980" t="s">
        <v>2103</v>
      </c>
      <c r="D2980" t="str">
        <f>HYPERLINK("https://rhld.insurance.arkansas.gov/NPILookup?Npi=1659767820","1659767820")</f>
        <v>1659767820</v>
      </c>
      <c r="E2980" t="s">
        <v>2975</v>
      </c>
      <c r="F2980" t="s">
        <v>12</v>
      </c>
      <c r="G2980" s="20">
        <v>1</v>
      </c>
      <c r="H2980" t="s">
        <v>4338</v>
      </c>
      <c r="I2980" t="s">
        <v>32</v>
      </c>
      <c r="J2980" s="9"/>
      <c r="K2980" s="9"/>
      <c r="L2980" s="9"/>
    </row>
    <row r="2981" spans="2:12" ht="15" x14ac:dyDescent="0.25">
      <c r="B2981" t="s">
        <v>2102</v>
      </c>
      <c r="C2981" t="s">
        <v>2103</v>
      </c>
      <c r="D2981" t="str">
        <f>HYPERLINK("https://rhld.insurance.arkansas.gov/NPILookup?Npi=1659948651","1659948651")</f>
        <v>1659948651</v>
      </c>
      <c r="E2981" t="s">
        <v>2976</v>
      </c>
      <c r="F2981" t="s">
        <v>13</v>
      </c>
      <c r="G2981" s="20">
        <v>1</v>
      </c>
      <c r="H2981" t="s">
        <v>4357</v>
      </c>
      <c r="I2981" t="s">
        <v>4357</v>
      </c>
      <c r="J2981" s="9"/>
      <c r="K2981" s="9"/>
      <c r="L2981" s="9"/>
    </row>
    <row r="2982" spans="2:12" ht="15" x14ac:dyDescent="0.25">
      <c r="B2982" t="s">
        <v>2102</v>
      </c>
      <c r="C2982" t="s">
        <v>2103</v>
      </c>
      <c r="D2982" t="str">
        <f>HYPERLINK("https://rhld.insurance.arkansas.gov/NPILookup?Npi=1669122990","1669122990")</f>
        <v>1669122990</v>
      </c>
      <c r="E2982" t="s">
        <v>758</v>
      </c>
      <c r="F2982" t="s">
        <v>13</v>
      </c>
      <c r="G2982" s="20">
        <v>1</v>
      </c>
      <c r="H2982" t="s">
        <v>4357</v>
      </c>
      <c r="I2982" t="s">
        <v>4357</v>
      </c>
      <c r="J2982" s="9"/>
      <c r="K2982" s="9"/>
      <c r="L2982" s="9"/>
    </row>
    <row r="2983" spans="2:12" ht="15" x14ac:dyDescent="0.25">
      <c r="B2983" t="s">
        <v>2102</v>
      </c>
      <c r="C2983" t="s">
        <v>2103</v>
      </c>
      <c r="D2983" t="str">
        <f>HYPERLINK("https://rhld.insurance.arkansas.gov/NPILookup?Npi=1669155305","1669155305")</f>
        <v>1669155305</v>
      </c>
      <c r="E2983" t="s">
        <v>2977</v>
      </c>
      <c r="F2983" t="s">
        <v>12</v>
      </c>
      <c r="G2983" s="20">
        <v>1</v>
      </c>
      <c r="H2983" t="s">
        <v>4338</v>
      </c>
      <c r="I2983" t="s">
        <v>32</v>
      </c>
      <c r="J2983" s="9"/>
      <c r="K2983" s="9"/>
      <c r="L2983" s="9"/>
    </row>
    <row r="2984" spans="2:12" ht="15" x14ac:dyDescent="0.25">
      <c r="B2984" t="s">
        <v>2102</v>
      </c>
      <c r="C2984" t="s">
        <v>2103</v>
      </c>
      <c r="D2984" t="str">
        <f>HYPERLINK("https://rhld.insurance.arkansas.gov/NPILookup?Npi=1669205308","1669205308")</f>
        <v>1669205308</v>
      </c>
      <c r="E2984" t="s">
        <v>2090</v>
      </c>
      <c r="F2984" t="s">
        <v>13</v>
      </c>
      <c r="G2984" s="20">
        <v>1</v>
      </c>
      <c r="H2984" t="s">
        <v>4357</v>
      </c>
      <c r="I2984" t="s">
        <v>4357</v>
      </c>
      <c r="J2984" s="9"/>
      <c r="K2984" s="9"/>
      <c r="L2984" s="9"/>
    </row>
    <row r="2985" spans="2:12" ht="15" x14ac:dyDescent="0.25">
      <c r="B2985" t="s">
        <v>2102</v>
      </c>
      <c r="C2985" t="s">
        <v>2103</v>
      </c>
      <c r="D2985" t="str">
        <f>HYPERLINK("https://rhld.insurance.arkansas.gov/NPILookup?Npi=1669277646","1669277646")</f>
        <v>1669277646</v>
      </c>
      <c r="E2985" t="s">
        <v>1776</v>
      </c>
      <c r="F2985" t="s">
        <v>13</v>
      </c>
      <c r="G2985" s="20">
        <v>1</v>
      </c>
      <c r="H2985" t="s">
        <v>4357</v>
      </c>
      <c r="I2985" t="s">
        <v>4357</v>
      </c>
      <c r="J2985" s="9"/>
      <c r="K2985" s="9"/>
      <c r="L2985" s="9"/>
    </row>
    <row r="2986" spans="2:12" ht="15" x14ac:dyDescent="0.25">
      <c r="B2986" t="s">
        <v>2102</v>
      </c>
      <c r="C2986" t="s">
        <v>2103</v>
      </c>
      <c r="D2986" t="str">
        <f>HYPERLINK("https://rhld.insurance.arkansas.gov/NPILookup?Npi=1669416046","1669416046")</f>
        <v>1669416046</v>
      </c>
      <c r="E2986" t="s">
        <v>2978</v>
      </c>
      <c r="F2986" t="s">
        <v>12</v>
      </c>
      <c r="G2986" s="20">
        <v>1</v>
      </c>
      <c r="H2986" t="s">
        <v>4349</v>
      </c>
      <c r="I2986" t="s">
        <v>4357</v>
      </c>
      <c r="J2986" s="9"/>
      <c r="K2986" s="9"/>
      <c r="L2986" s="9"/>
    </row>
    <row r="2987" spans="2:12" ht="15" x14ac:dyDescent="0.25">
      <c r="B2987" t="s">
        <v>2102</v>
      </c>
      <c r="C2987" t="s">
        <v>2103</v>
      </c>
      <c r="D2987" t="str">
        <f>HYPERLINK("https://rhld.insurance.arkansas.gov/NPILookup?Npi=1669430286","1669430286")</f>
        <v>1669430286</v>
      </c>
      <c r="E2987" t="s">
        <v>2979</v>
      </c>
      <c r="F2987" t="s">
        <v>12</v>
      </c>
      <c r="G2987" s="20">
        <v>1</v>
      </c>
      <c r="H2987" t="s">
        <v>4349</v>
      </c>
      <c r="I2987" t="s">
        <v>32</v>
      </c>
      <c r="J2987" s="9"/>
      <c r="K2987" s="9"/>
      <c r="L2987" s="9"/>
    </row>
    <row r="2988" spans="2:12" ht="15" x14ac:dyDescent="0.25">
      <c r="B2988" t="s">
        <v>2102</v>
      </c>
      <c r="C2988" t="s">
        <v>2103</v>
      </c>
      <c r="D2988" t="str">
        <f>HYPERLINK("https://rhld.insurance.arkansas.gov/NPILookup?Npi=1669621710","1669621710")</f>
        <v>1669621710</v>
      </c>
      <c r="E2988" t="s">
        <v>2981</v>
      </c>
      <c r="F2988" t="s">
        <v>13</v>
      </c>
      <c r="G2988" s="20">
        <v>1</v>
      </c>
      <c r="H2988" t="s">
        <v>87</v>
      </c>
      <c r="I2988" t="s">
        <v>32</v>
      </c>
      <c r="J2988" s="9"/>
      <c r="K2988" s="9"/>
      <c r="L2988" s="9"/>
    </row>
    <row r="2989" spans="2:12" ht="15" x14ac:dyDescent="0.25">
      <c r="B2989" t="s">
        <v>2102</v>
      </c>
      <c r="C2989" t="s">
        <v>2103</v>
      </c>
      <c r="D2989" t="str">
        <f>HYPERLINK("https://rhld.insurance.arkansas.gov/NPILookup?Npi=1669676557","1669676557")</f>
        <v>1669676557</v>
      </c>
      <c r="E2989" t="s">
        <v>2982</v>
      </c>
      <c r="F2989" t="s">
        <v>12</v>
      </c>
      <c r="G2989" s="20">
        <v>1</v>
      </c>
      <c r="H2989" t="s">
        <v>4338</v>
      </c>
      <c r="I2989" t="s">
        <v>32</v>
      </c>
      <c r="J2989" s="9"/>
      <c r="K2989" s="9"/>
      <c r="L2989" s="9"/>
    </row>
    <row r="2990" spans="2:12" ht="15" x14ac:dyDescent="0.25">
      <c r="B2990" t="s">
        <v>2102</v>
      </c>
      <c r="C2990" t="s">
        <v>2103</v>
      </c>
      <c r="D2990" t="str">
        <f>HYPERLINK("https://rhld.insurance.arkansas.gov/NPILookup?Npi=1669787784","1669787784")</f>
        <v>1669787784</v>
      </c>
      <c r="E2990" t="s">
        <v>4588</v>
      </c>
      <c r="F2990" t="s">
        <v>12</v>
      </c>
      <c r="G2990" s="20">
        <v>1</v>
      </c>
      <c r="H2990" t="s">
        <v>4349</v>
      </c>
      <c r="I2990" t="s">
        <v>32</v>
      </c>
      <c r="J2990" s="9"/>
      <c r="K2990" s="9"/>
      <c r="L2990" s="9"/>
    </row>
    <row r="2991" spans="2:12" ht="15" x14ac:dyDescent="0.25">
      <c r="B2991" t="s">
        <v>2102</v>
      </c>
      <c r="C2991" t="s">
        <v>2103</v>
      </c>
      <c r="D2991" t="str">
        <f>HYPERLINK("https://rhld.insurance.arkansas.gov/NPILookup?Npi=1669799797","1669799797")</f>
        <v>1669799797</v>
      </c>
      <c r="E2991" t="s">
        <v>2983</v>
      </c>
      <c r="F2991" t="s">
        <v>12</v>
      </c>
      <c r="G2991" s="20">
        <v>1</v>
      </c>
      <c r="H2991" t="s">
        <v>4349</v>
      </c>
      <c r="I2991" t="s">
        <v>4357</v>
      </c>
      <c r="J2991" s="9"/>
      <c r="K2991" s="9"/>
      <c r="L2991" s="9"/>
    </row>
    <row r="2992" spans="2:12" ht="15" x14ac:dyDescent="0.25">
      <c r="B2992" t="s">
        <v>2102</v>
      </c>
      <c r="C2992" t="s">
        <v>2103</v>
      </c>
      <c r="D2992" t="str">
        <f>HYPERLINK("https://rhld.insurance.arkansas.gov/NPILookup?Npi=1669849493","1669849493")</f>
        <v>1669849493</v>
      </c>
      <c r="E2992" t="s">
        <v>2984</v>
      </c>
      <c r="F2992" t="s">
        <v>12</v>
      </c>
      <c r="G2992" s="20">
        <v>1</v>
      </c>
      <c r="H2992" t="s">
        <v>4338</v>
      </c>
      <c r="I2992" t="s">
        <v>32</v>
      </c>
      <c r="J2992" s="9"/>
      <c r="K2992" s="9"/>
      <c r="L2992" s="9"/>
    </row>
    <row r="2993" spans="2:12" ht="15" x14ac:dyDescent="0.25">
      <c r="B2993" t="s">
        <v>2102</v>
      </c>
      <c r="C2993" t="s">
        <v>2103</v>
      </c>
      <c r="D2993" t="str">
        <f>HYPERLINK("https://rhld.insurance.arkansas.gov/NPILookup?Npi=1679033765","1679033765")</f>
        <v>1679033765</v>
      </c>
      <c r="E2993" t="s">
        <v>2986</v>
      </c>
      <c r="F2993" t="s">
        <v>12</v>
      </c>
      <c r="G2993" s="20">
        <v>1</v>
      </c>
      <c r="H2993" t="s">
        <v>4338</v>
      </c>
      <c r="I2993" t="s">
        <v>32</v>
      </c>
      <c r="J2993" s="9"/>
      <c r="K2993" s="9"/>
      <c r="L2993" s="9"/>
    </row>
    <row r="2994" spans="2:12" ht="15" x14ac:dyDescent="0.25">
      <c r="B2994" t="s">
        <v>2102</v>
      </c>
      <c r="C2994" t="s">
        <v>2103</v>
      </c>
      <c r="D2994" t="str">
        <f>HYPERLINK("https://rhld.insurance.arkansas.gov/NPILookup?Npi=1679101711","1679101711")</f>
        <v>1679101711</v>
      </c>
      <c r="E2994" t="s">
        <v>2987</v>
      </c>
      <c r="F2994" t="s">
        <v>12</v>
      </c>
      <c r="G2994" s="20">
        <v>1</v>
      </c>
      <c r="H2994" t="s">
        <v>4349</v>
      </c>
      <c r="I2994" t="s">
        <v>32</v>
      </c>
      <c r="J2994" s="9"/>
      <c r="K2994" s="9"/>
      <c r="L2994" s="9"/>
    </row>
    <row r="2995" spans="2:12" ht="15" x14ac:dyDescent="0.25">
      <c r="B2995" t="s">
        <v>2102</v>
      </c>
      <c r="C2995" t="s">
        <v>2103</v>
      </c>
      <c r="D2995" t="str">
        <f>HYPERLINK("https://rhld.insurance.arkansas.gov/NPILookup?Npi=1679133888","1679133888")</f>
        <v>1679133888</v>
      </c>
      <c r="E2995" t="s">
        <v>2988</v>
      </c>
      <c r="F2995" t="s">
        <v>13</v>
      </c>
      <c r="G2995" s="20">
        <v>1</v>
      </c>
      <c r="H2995" t="s">
        <v>4357</v>
      </c>
      <c r="I2995" t="s">
        <v>4357</v>
      </c>
      <c r="J2995" s="9"/>
      <c r="K2995" s="9"/>
      <c r="L2995" s="9"/>
    </row>
    <row r="2996" spans="2:12" ht="15" x14ac:dyDescent="0.25">
      <c r="B2996" t="s">
        <v>2102</v>
      </c>
      <c r="C2996" t="s">
        <v>2103</v>
      </c>
      <c r="D2996" t="str">
        <f>HYPERLINK("https://rhld.insurance.arkansas.gov/NPILookup?Npi=1679239248","1679239248")</f>
        <v>1679239248</v>
      </c>
      <c r="E2996" t="s">
        <v>2990</v>
      </c>
      <c r="F2996" t="s">
        <v>12</v>
      </c>
      <c r="G2996" s="20">
        <v>1</v>
      </c>
      <c r="H2996" t="s">
        <v>4338</v>
      </c>
      <c r="I2996" t="s">
        <v>32</v>
      </c>
      <c r="J2996" s="9"/>
      <c r="K2996" s="9"/>
      <c r="L2996" s="9"/>
    </row>
    <row r="2997" spans="2:12" ht="15" x14ac:dyDescent="0.25">
      <c r="B2997" t="s">
        <v>2102</v>
      </c>
      <c r="C2997" t="s">
        <v>2103</v>
      </c>
      <c r="D2997" t="str">
        <f>HYPERLINK("https://rhld.insurance.arkansas.gov/NPILookup?Npi=1679523807","1679523807")</f>
        <v>1679523807</v>
      </c>
      <c r="E2997" t="s">
        <v>2992</v>
      </c>
      <c r="F2997" t="s">
        <v>12</v>
      </c>
      <c r="G2997" s="20">
        <v>1</v>
      </c>
      <c r="H2997" t="s">
        <v>4338</v>
      </c>
      <c r="I2997" t="s">
        <v>32</v>
      </c>
      <c r="J2997" s="9"/>
      <c r="K2997" s="9"/>
      <c r="L2997" s="9"/>
    </row>
    <row r="2998" spans="2:12" ht="15" x14ac:dyDescent="0.25">
      <c r="B2998" t="s">
        <v>2102</v>
      </c>
      <c r="C2998" t="s">
        <v>2103</v>
      </c>
      <c r="D2998" t="str">
        <f>HYPERLINK("https://rhld.insurance.arkansas.gov/NPILookup?Npi=1679535181","1679535181")</f>
        <v>1679535181</v>
      </c>
      <c r="E2998" t="s">
        <v>2993</v>
      </c>
      <c r="F2998" t="s">
        <v>12</v>
      </c>
      <c r="G2998" s="20">
        <v>1</v>
      </c>
      <c r="H2998" t="s">
        <v>4338</v>
      </c>
      <c r="I2998" t="s">
        <v>32</v>
      </c>
      <c r="J2998" s="9"/>
      <c r="K2998" s="9"/>
      <c r="L2998" s="9"/>
    </row>
    <row r="2999" spans="2:12" ht="15" x14ac:dyDescent="0.25">
      <c r="B2999" t="s">
        <v>2102</v>
      </c>
      <c r="C2999" t="s">
        <v>2103</v>
      </c>
      <c r="D2999" t="str">
        <f>HYPERLINK("https://rhld.insurance.arkansas.gov/NPILookup?Npi=1679550818","1679550818")</f>
        <v>1679550818</v>
      </c>
      <c r="E2999" t="s">
        <v>2994</v>
      </c>
      <c r="F2999" t="s">
        <v>12</v>
      </c>
      <c r="G2999" s="20">
        <v>1</v>
      </c>
      <c r="H2999" t="s">
        <v>4349</v>
      </c>
      <c r="I2999" t="s">
        <v>4357</v>
      </c>
      <c r="J2999" s="9"/>
      <c r="K2999" s="9"/>
      <c r="L2999" s="9"/>
    </row>
    <row r="3000" spans="2:12" ht="15" x14ac:dyDescent="0.25">
      <c r="B3000" t="s">
        <v>2102</v>
      </c>
      <c r="C3000" t="s">
        <v>2103</v>
      </c>
      <c r="D3000" t="str">
        <f>HYPERLINK("https://rhld.insurance.arkansas.gov/NPILookup?Npi=1679573299","1679573299")</f>
        <v>1679573299</v>
      </c>
      <c r="E3000" t="s">
        <v>2995</v>
      </c>
      <c r="F3000" t="s">
        <v>12</v>
      </c>
      <c r="G3000" s="20">
        <v>1</v>
      </c>
      <c r="H3000" t="s">
        <v>4349</v>
      </c>
      <c r="I3000" t="s">
        <v>4357</v>
      </c>
      <c r="J3000" s="9"/>
      <c r="K3000" s="9"/>
      <c r="L3000" s="9"/>
    </row>
    <row r="3001" spans="2:12" ht="15" x14ac:dyDescent="0.25">
      <c r="B3001" t="s">
        <v>2102</v>
      </c>
      <c r="C3001" t="s">
        <v>2103</v>
      </c>
      <c r="D3001" t="str">
        <f>HYPERLINK("https://rhld.insurance.arkansas.gov/NPILookup?Npi=1679710768","1679710768")</f>
        <v>1679710768</v>
      </c>
      <c r="E3001" t="s">
        <v>2996</v>
      </c>
      <c r="F3001" t="s">
        <v>12</v>
      </c>
      <c r="G3001" s="20">
        <v>1</v>
      </c>
      <c r="H3001" t="s">
        <v>4338</v>
      </c>
      <c r="I3001" t="s">
        <v>32</v>
      </c>
      <c r="J3001" s="9"/>
      <c r="K3001" s="9"/>
      <c r="L3001" s="9"/>
    </row>
    <row r="3002" spans="2:12" ht="15" x14ac:dyDescent="0.25">
      <c r="B3002" t="s">
        <v>2102</v>
      </c>
      <c r="C3002" t="s">
        <v>2103</v>
      </c>
      <c r="D3002" t="str">
        <f>HYPERLINK("https://rhld.insurance.arkansas.gov/NPILookup?Npi=1679898332","1679898332")</f>
        <v>1679898332</v>
      </c>
      <c r="E3002" t="s">
        <v>2997</v>
      </c>
      <c r="F3002" t="s">
        <v>13</v>
      </c>
      <c r="G3002" s="20">
        <v>1</v>
      </c>
      <c r="H3002" t="s">
        <v>87</v>
      </c>
      <c r="I3002" t="s">
        <v>32</v>
      </c>
      <c r="J3002" s="9"/>
      <c r="K3002" s="9"/>
      <c r="L3002" s="9"/>
    </row>
    <row r="3003" spans="2:12" ht="15" x14ac:dyDescent="0.25">
      <c r="B3003" t="s">
        <v>2102</v>
      </c>
      <c r="C3003" t="s">
        <v>2103</v>
      </c>
      <c r="D3003" t="str">
        <f>HYPERLINK("https://rhld.insurance.arkansas.gov/NPILookup?Npi=1679912554","1679912554")</f>
        <v>1679912554</v>
      </c>
      <c r="E3003" t="s">
        <v>2998</v>
      </c>
      <c r="F3003" t="s">
        <v>13</v>
      </c>
      <c r="G3003" s="20">
        <v>1</v>
      </c>
      <c r="H3003" t="s">
        <v>87</v>
      </c>
      <c r="I3003" t="s">
        <v>32</v>
      </c>
      <c r="J3003" s="9"/>
      <c r="K3003" s="9"/>
      <c r="L3003" s="9"/>
    </row>
    <row r="3004" spans="2:12" ht="15" x14ac:dyDescent="0.25">
      <c r="B3004" t="s">
        <v>2102</v>
      </c>
      <c r="C3004" t="s">
        <v>2103</v>
      </c>
      <c r="D3004" t="str">
        <f>HYPERLINK("https://rhld.insurance.arkansas.gov/NPILookup?Npi=1679952535","1679952535")</f>
        <v>1679952535</v>
      </c>
      <c r="E3004" t="s">
        <v>769</v>
      </c>
      <c r="F3004" t="s">
        <v>12</v>
      </c>
      <c r="G3004" s="20">
        <v>1</v>
      </c>
      <c r="H3004" t="s">
        <v>4338</v>
      </c>
      <c r="I3004" t="s">
        <v>4357</v>
      </c>
      <c r="J3004" s="9"/>
      <c r="K3004" s="9"/>
      <c r="L3004" s="9"/>
    </row>
    <row r="3005" spans="2:12" ht="15" x14ac:dyDescent="0.25">
      <c r="B3005" t="s">
        <v>2102</v>
      </c>
      <c r="C3005" t="s">
        <v>2103</v>
      </c>
      <c r="D3005" t="str">
        <f>HYPERLINK("https://rhld.insurance.arkansas.gov/NPILookup?Npi=1689032237","1689032237")</f>
        <v>1689032237</v>
      </c>
      <c r="E3005" t="s">
        <v>2999</v>
      </c>
      <c r="F3005" t="s">
        <v>13</v>
      </c>
      <c r="G3005" s="20">
        <v>1</v>
      </c>
      <c r="H3005" t="s">
        <v>87</v>
      </c>
      <c r="I3005" t="s">
        <v>32</v>
      </c>
      <c r="J3005" s="9"/>
      <c r="K3005" s="9"/>
      <c r="L3005" s="9"/>
    </row>
    <row r="3006" spans="2:12" ht="15" x14ac:dyDescent="0.25">
      <c r="B3006" t="s">
        <v>2102</v>
      </c>
      <c r="C3006" t="s">
        <v>2103</v>
      </c>
      <c r="D3006" t="str">
        <f>HYPERLINK("https://rhld.insurance.arkansas.gov/NPILookup?Npi=1689036329","1689036329")</f>
        <v>1689036329</v>
      </c>
      <c r="E3006" t="s">
        <v>3000</v>
      </c>
      <c r="F3006" t="s">
        <v>12</v>
      </c>
      <c r="G3006" s="20">
        <v>1</v>
      </c>
      <c r="H3006" t="s">
        <v>4349</v>
      </c>
      <c r="I3006" t="s">
        <v>32</v>
      </c>
      <c r="J3006" s="9"/>
      <c r="K3006" s="9"/>
      <c r="L3006" s="9"/>
    </row>
    <row r="3007" spans="2:12" ht="15" x14ac:dyDescent="0.25">
      <c r="B3007" t="s">
        <v>2102</v>
      </c>
      <c r="C3007" t="s">
        <v>2103</v>
      </c>
      <c r="D3007" t="str">
        <f>HYPERLINK("https://rhld.insurance.arkansas.gov/NPILookup?Npi=1689038416","1689038416")</f>
        <v>1689038416</v>
      </c>
      <c r="E3007" t="s">
        <v>4589</v>
      </c>
      <c r="F3007" t="s">
        <v>12</v>
      </c>
      <c r="G3007" s="20">
        <v>1</v>
      </c>
      <c r="H3007" t="s">
        <v>4349</v>
      </c>
      <c r="I3007" t="s">
        <v>32</v>
      </c>
      <c r="J3007" s="9"/>
      <c r="K3007" s="9"/>
      <c r="L3007" s="9"/>
    </row>
    <row r="3008" spans="2:12" ht="15" x14ac:dyDescent="0.25">
      <c r="B3008" t="s">
        <v>2102</v>
      </c>
      <c r="C3008" t="s">
        <v>2103</v>
      </c>
      <c r="D3008" t="str">
        <f>HYPERLINK("https://rhld.insurance.arkansas.gov/NPILookup?Npi=1689038952","1689038952")</f>
        <v>1689038952</v>
      </c>
      <c r="E3008" t="s">
        <v>3001</v>
      </c>
      <c r="F3008" t="s">
        <v>12</v>
      </c>
      <c r="G3008" s="20">
        <v>1</v>
      </c>
      <c r="H3008" t="s">
        <v>4349</v>
      </c>
      <c r="I3008" t="s">
        <v>32</v>
      </c>
      <c r="J3008" s="9"/>
      <c r="K3008" s="9"/>
      <c r="L3008" s="9"/>
    </row>
    <row r="3009" spans="2:12" ht="15" x14ac:dyDescent="0.25">
      <c r="B3009" t="s">
        <v>2102</v>
      </c>
      <c r="C3009" t="s">
        <v>2103</v>
      </c>
      <c r="D3009" t="str">
        <f>HYPERLINK("https://rhld.insurance.arkansas.gov/NPILookup?Npi=1689171712","1689171712")</f>
        <v>1689171712</v>
      </c>
      <c r="E3009" t="s">
        <v>3002</v>
      </c>
      <c r="F3009" t="s">
        <v>12</v>
      </c>
      <c r="G3009" s="20">
        <v>1</v>
      </c>
      <c r="H3009" t="s">
        <v>4349</v>
      </c>
      <c r="I3009" t="s">
        <v>32</v>
      </c>
      <c r="J3009" s="9"/>
      <c r="K3009" s="9"/>
      <c r="L3009" s="9"/>
    </row>
    <row r="3010" spans="2:12" ht="15" x14ac:dyDescent="0.25">
      <c r="B3010" t="s">
        <v>2102</v>
      </c>
      <c r="C3010" t="s">
        <v>2103</v>
      </c>
      <c r="D3010" t="str">
        <f>HYPERLINK("https://rhld.insurance.arkansas.gov/NPILookup?Npi=1689349243","1689349243")</f>
        <v>1689349243</v>
      </c>
      <c r="E3010" t="s">
        <v>3003</v>
      </c>
      <c r="F3010" t="s">
        <v>12</v>
      </c>
      <c r="G3010" s="20">
        <v>1</v>
      </c>
      <c r="H3010" t="s">
        <v>4338</v>
      </c>
      <c r="I3010" t="s">
        <v>32</v>
      </c>
      <c r="J3010" s="9"/>
      <c r="K3010" s="9"/>
      <c r="L3010" s="9"/>
    </row>
    <row r="3011" spans="2:12" ht="15" x14ac:dyDescent="0.25">
      <c r="B3011" t="s">
        <v>2102</v>
      </c>
      <c r="C3011" t="s">
        <v>2103</v>
      </c>
      <c r="D3011" t="str">
        <f>HYPERLINK("https://rhld.insurance.arkansas.gov/NPILookup?Npi=1689358798","1689358798")</f>
        <v>1689358798</v>
      </c>
      <c r="E3011" t="s">
        <v>3004</v>
      </c>
      <c r="F3011" t="s">
        <v>13</v>
      </c>
      <c r="G3011" s="20">
        <v>2</v>
      </c>
      <c r="H3011" t="s">
        <v>439</v>
      </c>
      <c r="I3011" t="s">
        <v>4357</v>
      </c>
      <c r="J3011" s="9"/>
      <c r="K3011" s="9"/>
      <c r="L3011" s="9"/>
    </row>
    <row r="3012" spans="2:12" ht="15" x14ac:dyDescent="0.25">
      <c r="B3012" t="s">
        <v>2102</v>
      </c>
      <c r="C3012" t="s">
        <v>2103</v>
      </c>
      <c r="D3012" t="str">
        <f>HYPERLINK("https://rhld.insurance.arkansas.gov/NPILookup?Npi=1689400228","1689400228")</f>
        <v>1689400228</v>
      </c>
      <c r="E3012" t="s">
        <v>3005</v>
      </c>
      <c r="F3012" t="s">
        <v>13</v>
      </c>
      <c r="G3012" s="20">
        <v>2</v>
      </c>
      <c r="H3012" t="s">
        <v>439</v>
      </c>
      <c r="I3012" t="s">
        <v>4357</v>
      </c>
      <c r="J3012" s="9"/>
      <c r="K3012" s="9"/>
      <c r="L3012" s="9"/>
    </row>
    <row r="3013" spans="2:12" ht="15" x14ac:dyDescent="0.25">
      <c r="B3013" t="s">
        <v>2102</v>
      </c>
      <c r="C3013" t="s">
        <v>2103</v>
      </c>
      <c r="D3013" t="str">
        <f>HYPERLINK("https://rhld.insurance.arkansas.gov/NPILookup?Npi=1689461071","1689461071")</f>
        <v>1689461071</v>
      </c>
      <c r="E3013" t="s">
        <v>3006</v>
      </c>
      <c r="F3013" t="s">
        <v>13</v>
      </c>
      <c r="G3013" s="20">
        <v>1</v>
      </c>
      <c r="H3013" t="s">
        <v>4357</v>
      </c>
      <c r="I3013" t="s">
        <v>4357</v>
      </c>
      <c r="J3013" s="9"/>
      <c r="K3013" s="9"/>
      <c r="L3013" s="9"/>
    </row>
    <row r="3014" spans="2:12" ht="15" x14ac:dyDescent="0.25">
      <c r="B3014" t="s">
        <v>2102</v>
      </c>
      <c r="C3014" t="s">
        <v>2103</v>
      </c>
      <c r="D3014" t="str">
        <f>HYPERLINK("https://rhld.insurance.arkansas.gov/NPILookup?Npi=1689493181","1689493181")</f>
        <v>1689493181</v>
      </c>
      <c r="E3014" t="s">
        <v>3007</v>
      </c>
      <c r="F3014" t="s">
        <v>13</v>
      </c>
      <c r="G3014" s="20">
        <v>2</v>
      </c>
      <c r="H3014" t="s">
        <v>439</v>
      </c>
      <c r="I3014" t="s">
        <v>4357</v>
      </c>
      <c r="J3014" s="9"/>
      <c r="K3014" s="9"/>
      <c r="L3014" s="9"/>
    </row>
    <row r="3015" spans="2:12" ht="15" x14ac:dyDescent="0.25">
      <c r="B3015" t="s">
        <v>2102</v>
      </c>
      <c r="C3015" t="s">
        <v>2103</v>
      </c>
      <c r="D3015" t="str">
        <f>HYPERLINK("https://rhld.insurance.arkansas.gov/NPILookup?Npi=1689620767","1689620767")</f>
        <v>1689620767</v>
      </c>
      <c r="E3015" t="s">
        <v>3008</v>
      </c>
      <c r="F3015" t="s">
        <v>12</v>
      </c>
      <c r="G3015" s="20">
        <v>1</v>
      </c>
      <c r="H3015" t="s">
        <v>4338</v>
      </c>
      <c r="I3015" t="s">
        <v>32</v>
      </c>
      <c r="J3015" s="9"/>
      <c r="K3015" s="9"/>
      <c r="L3015" s="9"/>
    </row>
    <row r="3016" spans="2:12" ht="15" x14ac:dyDescent="0.25">
      <c r="B3016" t="s">
        <v>2102</v>
      </c>
      <c r="C3016" t="s">
        <v>2103</v>
      </c>
      <c r="D3016" t="str">
        <f>HYPERLINK("https://rhld.insurance.arkansas.gov/NPILookup?Npi=1689659674","1689659674")</f>
        <v>1689659674</v>
      </c>
      <c r="E3016" t="s">
        <v>4590</v>
      </c>
      <c r="F3016" t="s">
        <v>12</v>
      </c>
      <c r="G3016" s="20">
        <v>1</v>
      </c>
      <c r="H3016" t="s">
        <v>4349</v>
      </c>
      <c r="I3016" t="s">
        <v>32</v>
      </c>
      <c r="J3016" s="9"/>
      <c r="K3016" s="9"/>
      <c r="L3016" s="9"/>
    </row>
    <row r="3017" spans="2:12" ht="15" x14ac:dyDescent="0.25">
      <c r="B3017" t="s">
        <v>2102</v>
      </c>
      <c r="C3017" t="s">
        <v>2103</v>
      </c>
      <c r="D3017" t="str">
        <f>HYPERLINK("https://rhld.insurance.arkansas.gov/NPILookup?Npi=1689764151","1689764151")</f>
        <v>1689764151</v>
      </c>
      <c r="E3017" t="s">
        <v>4591</v>
      </c>
      <c r="F3017" t="s">
        <v>12</v>
      </c>
      <c r="G3017" s="20">
        <v>1</v>
      </c>
      <c r="H3017" t="s">
        <v>4349</v>
      </c>
      <c r="I3017" t="s">
        <v>32</v>
      </c>
      <c r="J3017" s="9"/>
      <c r="K3017" s="9"/>
      <c r="L3017" s="9"/>
    </row>
    <row r="3018" spans="2:12" ht="15" x14ac:dyDescent="0.25">
      <c r="B3018" t="s">
        <v>2102</v>
      </c>
      <c r="C3018" t="s">
        <v>2103</v>
      </c>
      <c r="D3018" t="str">
        <f>HYPERLINK("https://rhld.insurance.arkansas.gov/NPILookup?Npi=1689898843","1689898843")</f>
        <v>1689898843</v>
      </c>
      <c r="E3018" t="s">
        <v>3011</v>
      </c>
      <c r="F3018" t="s">
        <v>12</v>
      </c>
      <c r="G3018" s="20">
        <v>1</v>
      </c>
      <c r="H3018" t="s">
        <v>4338</v>
      </c>
      <c r="I3018" t="s">
        <v>32</v>
      </c>
      <c r="J3018" s="9"/>
      <c r="K3018" s="9"/>
      <c r="L3018" s="9"/>
    </row>
    <row r="3019" spans="2:12" ht="15" x14ac:dyDescent="0.25">
      <c r="B3019" t="s">
        <v>2102</v>
      </c>
      <c r="C3019" t="s">
        <v>2103</v>
      </c>
      <c r="D3019" t="str">
        <f>HYPERLINK("https://rhld.insurance.arkansas.gov/NPILookup?Npi=1689908105","1689908105")</f>
        <v>1689908105</v>
      </c>
      <c r="E3019" t="s">
        <v>773</v>
      </c>
      <c r="F3019" t="s">
        <v>12</v>
      </c>
      <c r="G3019" s="20">
        <v>1</v>
      </c>
      <c r="H3019" t="s">
        <v>139</v>
      </c>
      <c r="I3019" t="s">
        <v>32</v>
      </c>
      <c r="J3019" s="9"/>
      <c r="K3019" s="9"/>
      <c r="L3019" s="9"/>
    </row>
    <row r="3020" spans="2:12" ht="15" x14ac:dyDescent="0.25">
      <c r="B3020" t="s">
        <v>2102</v>
      </c>
      <c r="C3020" t="s">
        <v>2103</v>
      </c>
      <c r="D3020" t="str">
        <f>HYPERLINK("https://rhld.insurance.arkansas.gov/NPILookup?Npi=1689925455","1689925455")</f>
        <v>1689925455</v>
      </c>
      <c r="E3020" t="s">
        <v>3012</v>
      </c>
      <c r="F3020" t="s">
        <v>13</v>
      </c>
      <c r="G3020" s="20">
        <v>1</v>
      </c>
      <c r="H3020" t="s">
        <v>87</v>
      </c>
      <c r="I3020" t="s">
        <v>4357</v>
      </c>
      <c r="J3020" s="9"/>
      <c r="K3020" s="9"/>
      <c r="L3020" s="9"/>
    </row>
    <row r="3021" spans="2:12" ht="15" x14ac:dyDescent="0.25">
      <c r="B3021" t="s">
        <v>2102</v>
      </c>
      <c r="C3021" t="s">
        <v>2103</v>
      </c>
      <c r="D3021" t="str">
        <f>HYPERLINK("https://rhld.insurance.arkansas.gov/NPILookup?Npi=1689931941","1689931941")</f>
        <v>1689931941</v>
      </c>
      <c r="E3021" t="s">
        <v>4592</v>
      </c>
      <c r="F3021" t="s">
        <v>12</v>
      </c>
      <c r="G3021" s="20">
        <v>1</v>
      </c>
      <c r="H3021" t="s">
        <v>4349</v>
      </c>
      <c r="I3021" t="s">
        <v>32</v>
      </c>
      <c r="J3021" s="9"/>
      <c r="K3021" s="9"/>
      <c r="L3021" s="9"/>
    </row>
    <row r="3022" spans="2:12" ht="15" x14ac:dyDescent="0.25">
      <c r="B3022" t="s">
        <v>2102</v>
      </c>
      <c r="C3022" t="s">
        <v>2103</v>
      </c>
      <c r="D3022" t="str">
        <f>HYPERLINK("https://rhld.insurance.arkansas.gov/NPILookup?Npi=1699065110","1699065110")</f>
        <v>1699065110</v>
      </c>
      <c r="E3022" t="s">
        <v>3013</v>
      </c>
      <c r="F3022" t="s">
        <v>12</v>
      </c>
      <c r="G3022" s="20">
        <v>1</v>
      </c>
      <c r="H3022" t="s">
        <v>4338</v>
      </c>
      <c r="I3022" t="s">
        <v>32</v>
      </c>
      <c r="J3022" s="9"/>
      <c r="K3022" s="9"/>
      <c r="L3022" s="9"/>
    </row>
    <row r="3023" spans="2:12" ht="15" x14ac:dyDescent="0.25">
      <c r="B3023" t="s">
        <v>2102</v>
      </c>
      <c r="C3023" t="s">
        <v>2103</v>
      </c>
      <c r="D3023" t="str">
        <f>HYPERLINK("https://rhld.insurance.arkansas.gov/NPILookup?Npi=1699161398","1699161398")</f>
        <v>1699161398</v>
      </c>
      <c r="E3023" t="s">
        <v>3014</v>
      </c>
      <c r="F3023" t="s">
        <v>12</v>
      </c>
      <c r="G3023" s="20">
        <v>1</v>
      </c>
      <c r="H3023" t="s">
        <v>4338</v>
      </c>
      <c r="I3023" t="s">
        <v>32</v>
      </c>
      <c r="J3023" s="9"/>
      <c r="K3023" s="9"/>
      <c r="L3023" s="9"/>
    </row>
    <row r="3024" spans="2:12" ht="15" x14ac:dyDescent="0.25">
      <c r="B3024" t="s">
        <v>2102</v>
      </c>
      <c r="C3024" t="s">
        <v>2103</v>
      </c>
      <c r="D3024" t="str">
        <f>HYPERLINK("https://rhld.insurance.arkansas.gov/NPILookup?Npi=1699220756","1699220756")</f>
        <v>1699220756</v>
      </c>
      <c r="E3024" t="s">
        <v>1787</v>
      </c>
      <c r="F3024" t="s">
        <v>12</v>
      </c>
      <c r="G3024" s="20">
        <v>1</v>
      </c>
      <c r="H3024" t="s">
        <v>4338</v>
      </c>
      <c r="I3024" t="s">
        <v>4357</v>
      </c>
      <c r="J3024" s="9"/>
      <c r="K3024" s="9"/>
      <c r="L3024" s="9"/>
    </row>
    <row r="3025" spans="2:12" ht="15" x14ac:dyDescent="0.25">
      <c r="B3025" t="s">
        <v>2102</v>
      </c>
      <c r="C3025" t="s">
        <v>2103</v>
      </c>
      <c r="D3025" t="str">
        <f>HYPERLINK("https://rhld.insurance.arkansas.gov/NPILookup?Npi=1699282020","1699282020")</f>
        <v>1699282020</v>
      </c>
      <c r="E3025" t="s">
        <v>3015</v>
      </c>
      <c r="F3025" t="s">
        <v>13</v>
      </c>
      <c r="G3025" s="20">
        <v>2</v>
      </c>
      <c r="H3025" t="s">
        <v>439</v>
      </c>
      <c r="I3025" t="s">
        <v>4357</v>
      </c>
      <c r="J3025" s="9"/>
      <c r="K3025" s="9"/>
      <c r="L3025" s="9"/>
    </row>
    <row r="3026" spans="2:12" ht="15" x14ac:dyDescent="0.25">
      <c r="B3026" t="s">
        <v>2102</v>
      </c>
      <c r="C3026" t="s">
        <v>2103</v>
      </c>
      <c r="D3026" t="str">
        <f>HYPERLINK("https://rhld.insurance.arkansas.gov/NPILookup?Npi=1699576314","1699576314")</f>
        <v>1699576314</v>
      </c>
      <c r="E3026" t="s">
        <v>3017</v>
      </c>
      <c r="F3026" t="s">
        <v>13</v>
      </c>
      <c r="G3026" s="20">
        <v>1</v>
      </c>
      <c r="H3026" t="s">
        <v>4357</v>
      </c>
      <c r="I3026" t="s">
        <v>4357</v>
      </c>
      <c r="J3026" s="9"/>
      <c r="K3026" s="9"/>
      <c r="L3026" s="9"/>
    </row>
    <row r="3027" spans="2:12" ht="15" x14ac:dyDescent="0.25">
      <c r="B3027" t="s">
        <v>2102</v>
      </c>
      <c r="C3027" t="s">
        <v>2103</v>
      </c>
      <c r="D3027" t="str">
        <f>HYPERLINK("https://rhld.insurance.arkansas.gov/NPILookup?Npi=1699721050","1699721050")</f>
        <v>1699721050</v>
      </c>
      <c r="E3027" t="s">
        <v>3019</v>
      </c>
      <c r="F3027" t="s">
        <v>12</v>
      </c>
      <c r="G3027" s="20">
        <v>1</v>
      </c>
      <c r="H3027" t="s">
        <v>4349</v>
      </c>
      <c r="I3027" t="s">
        <v>4357</v>
      </c>
      <c r="J3027" s="9"/>
      <c r="K3027" s="9"/>
      <c r="L3027" s="9"/>
    </row>
    <row r="3028" spans="2:12" ht="15" x14ac:dyDescent="0.25">
      <c r="B3028" t="s">
        <v>2102</v>
      </c>
      <c r="C3028" t="s">
        <v>2103</v>
      </c>
      <c r="D3028" t="str">
        <f>HYPERLINK("https://rhld.insurance.arkansas.gov/NPILookup?Npi=1699731430","1699731430")</f>
        <v>1699731430</v>
      </c>
      <c r="E3028" t="s">
        <v>3020</v>
      </c>
      <c r="F3028" t="s">
        <v>12</v>
      </c>
      <c r="G3028" s="20">
        <v>1</v>
      </c>
      <c r="H3028" t="s">
        <v>4338</v>
      </c>
      <c r="I3028" t="s">
        <v>32</v>
      </c>
      <c r="J3028" s="9"/>
      <c r="K3028" s="9"/>
      <c r="L3028" s="9"/>
    </row>
    <row r="3029" spans="2:12" ht="15" x14ac:dyDescent="0.25">
      <c r="B3029" t="s">
        <v>2102</v>
      </c>
      <c r="C3029" t="s">
        <v>2103</v>
      </c>
      <c r="D3029" t="str">
        <f>HYPERLINK("https://rhld.insurance.arkansas.gov/NPILookup?Npi=1699733741","1699733741")</f>
        <v>1699733741</v>
      </c>
      <c r="E3029" t="s">
        <v>779</v>
      </c>
      <c r="F3029" t="s">
        <v>12</v>
      </c>
      <c r="G3029" s="20">
        <v>1</v>
      </c>
      <c r="H3029" t="s">
        <v>4338</v>
      </c>
      <c r="I3029" t="s">
        <v>32</v>
      </c>
      <c r="J3029" s="9"/>
      <c r="K3029" s="9"/>
      <c r="L3029" s="9"/>
    </row>
    <row r="3030" spans="2:12" ht="15" x14ac:dyDescent="0.25">
      <c r="B3030" t="s">
        <v>2102</v>
      </c>
      <c r="C3030" t="s">
        <v>2103</v>
      </c>
      <c r="D3030" t="str">
        <f>HYPERLINK("https://rhld.insurance.arkansas.gov/NPILookup?Npi=1699776195","1699776195")</f>
        <v>1699776195</v>
      </c>
      <c r="E3030" t="s">
        <v>4593</v>
      </c>
      <c r="F3030" t="s">
        <v>12</v>
      </c>
      <c r="G3030" s="20">
        <v>1</v>
      </c>
      <c r="H3030" t="s">
        <v>4349</v>
      </c>
      <c r="I3030" t="s">
        <v>32</v>
      </c>
      <c r="J3030" s="9"/>
      <c r="K3030" s="9"/>
      <c r="L3030" s="9"/>
    </row>
    <row r="3031" spans="2:12" ht="15" x14ac:dyDescent="0.25">
      <c r="B3031" t="s">
        <v>2102</v>
      </c>
      <c r="C3031" t="s">
        <v>2103</v>
      </c>
      <c r="D3031" t="str">
        <f>HYPERLINK("https://rhld.insurance.arkansas.gov/NPILookup?Npi=1700049392","1700049392")</f>
        <v>1700049392</v>
      </c>
      <c r="E3031" t="s">
        <v>784</v>
      </c>
      <c r="F3031" t="s">
        <v>12</v>
      </c>
      <c r="G3031" s="20">
        <v>1</v>
      </c>
      <c r="H3031" t="s">
        <v>4338</v>
      </c>
      <c r="I3031" t="s">
        <v>4357</v>
      </c>
      <c r="J3031" s="9"/>
      <c r="K3031" s="9"/>
      <c r="L3031" s="9"/>
    </row>
    <row r="3032" spans="2:12" ht="15" x14ac:dyDescent="0.25">
      <c r="B3032" t="s">
        <v>2102</v>
      </c>
      <c r="C3032" t="s">
        <v>2103</v>
      </c>
      <c r="D3032" t="str">
        <f>HYPERLINK("https://rhld.insurance.arkansas.gov/NPILookup?Npi=1700104148","1700104148")</f>
        <v>1700104148</v>
      </c>
      <c r="E3032" t="s">
        <v>3022</v>
      </c>
      <c r="F3032" t="s">
        <v>12</v>
      </c>
      <c r="G3032" s="20">
        <v>1</v>
      </c>
      <c r="H3032" t="s">
        <v>4338</v>
      </c>
      <c r="I3032" t="s">
        <v>32</v>
      </c>
      <c r="J3032" s="9"/>
      <c r="K3032" s="9"/>
      <c r="L3032" s="9"/>
    </row>
    <row r="3033" spans="2:12" ht="15" x14ac:dyDescent="0.25">
      <c r="B3033" t="s">
        <v>2102</v>
      </c>
      <c r="C3033" t="s">
        <v>2103</v>
      </c>
      <c r="D3033" t="str">
        <f>HYPERLINK("https://rhld.insurance.arkansas.gov/NPILookup?Npi=1700147790","1700147790")</f>
        <v>1700147790</v>
      </c>
      <c r="E3033" t="s">
        <v>3023</v>
      </c>
      <c r="F3033" t="s">
        <v>12</v>
      </c>
      <c r="G3033" s="20">
        <v>1</v>
      </c>
      <c r="H3033" t="s">
        <v>4349</v>
      </c>
      <c r="I3033" t="s">
        <v>32</v>
      </c>
      <c r="J3033" s="9"/>
      <c r="K3033" s="9"/>
      <c r="L3033" s="9"/>
    </row>
    <row r="3034" spans="2:12" ht="15" x14ac:dyDescent="0.25">
      <c r="B3034" t="s">
        <v>2102</v>
      </c>
      <c r="C3034" t="s">
        <v>2103</v>
      </c>
      <c r="D3034" t="str">
        <f>HYPERLINK("https://rhld.insurance.arkansas.gov/NPILookup?Npi=1700424025","1700424025")</f>
        <v>1700424025</v>
      </c>
      <c r="E3034" t="s">
        <v>3024</v>
      </c>
      <c r="F3034" t="s">
        <v>12</v>
      </c>
      <c r="G3034" s="20">
        <v>1</v>
      </c>
      <c r="H3034" t="s">
        <v>4338</v>
      </c>
      <c r="I3034" t="s">
        <v>32</v>
      </c>
      <c r="J3034" s="9"/>
      <c r="K3034" s="9"/>
      <c r="L3034" s="9"/>
    </row>
    <row r="3035" spans="2:12" ht="15" x14ac:dyDescent="0.25">
      <c r="B3035" t="s">
        <v>2102</v>
      </c>
      <c r="C3035" t="s">
        <v>2103</v>
      </c>
      <c r="D3035" t="str">
        <f>HYPERLINK("https://rhld.insurance.arkansas.gov/NPILookup?Npi=1700692183","1700692183")</f>
        <v>1700692183</v>
      </c>
      <c r="E3035" t="s">
        <v>1791</v>
      </c>
      <c r="F3035" t="s">
        <v>13</v>
      </c>
      <c r="G3035" s="20">
        <v>1</v>
      </c>
      <c r="H3035" t="s">
        <v>4357</v>
      </c>
      <c r="I3035" t="s">
        <v>4357</v>
      </c>
      <c r="J3035" s="9"/>
      <c r="K3035" s="9"/>
      <c r="L3035" s="9"/>
    </row>
    <row r="3036" spans="2:12" ht="15" x14ac:dyDescent="0.25">
      <c r="B3036" t="s">
        <v>2102</v>
      </c>
      <c r="C3036" t="s">
        <v>2103</v>
      </c>
      <c r="D3036" t="str">
        <f>HYPERLINK("https://rhld.insurance.arkansas.gov/NPILookup?Npi=1700822368","1700822368")</f>
        <v>1700822368</v>
      </c>
      <c r="E3036" t="s">
        <v>3025</v>
      </c>
      <c r="F3036" t="s">
        <v>13</v>
      </c>
      <c r="G3036" s="20">
        <v>1</v>
      </c>
      <c r="H3036" t="s">
        <v>4357</v>
      </c>
      <c r="I3036" t="s">
        <v>4357</v>
      </c>
      <c r="J3036" s="9"/>
      <c r="K3036" s="9"/>
      <c r="L3036" s="9"/>
    </row>
    <row r="3037" spans="2:12" ht="15" x14ac:dyDescent="0.25">
      <c r="B3037" t="s">
        <v>2102</v>
      </c>
      <c r="C3037" t="s">
        <v>2103</v>
      </c>
      <c r="D3037" t="str">
        <f>HYPERLINK("https://rhld.insurance.arkansas.gov/NPILookup?Npi=1700822863","1700822863")</f>
        <v>1700822863</v>
      </c>
      <c r="E3037" t="s">
        <v>4594</v>
      </c>
      <c r="F3037" t="s">
        <v>12</v>
      </c>
      <c r="G3037" s="20">
        <v>1</v>
      </c>
      <c r="H3037" t="s">
        <v>4349</v>
      </c>
      <c r="I3037" t="s">
        <v>32</v>
      </c>
      <c r="J3037" s="9"/>
      <c r="K3037" s="9"/>
      <c r="L3037" s="9"/>
    </row>
    <row r="3038" spans="2:12" ht="15" x14ac:dyDescent="0.25">
      <c r="B3038" t="s">
        <v>2102</v>
      </c>
      <c r="C3038" t="s">
        <v>2103</v>
      </c>
      <c r="D3038" t="str">
        <f>HYPERLINK("https://rhld.insurance.arkansas.gov/NPILookup?Npi=1700855921","1700855921")</f>
        <v>1700855921</v>
      </c>
      <c r="E3038" t="s">
        <v>3026</v>
      </c>
      <c r="F3038" t="s">
        <v>12</v>
      </c>
      <c r="G3038" s="20">
        <v>2</v>
      </c>
      <c r="H3038" t="s">
        <v>4595</v>
      </c>
      <c r="I3038" t="s">
        <v>32</v>
      </c>
      <c r="J3038" s="9"/>
      <c r="K3038" s="9"/>
      <c r="L3038" s="9"/>
    </row>
    <row r="3039" spans="2:12" ht="15" x14ac:dyDescent="0.25">
      <c r="B3039" t="s">
        <v>2102</v>
      </c>
      <c r="C3039" t="s">
        <v>2103</v>
      </c>
      <c r="D3039" t="str">
        <f>HYPERLINK("https://rhld.insurance.arkansas.gov/NPILookup?Npi=1710053327","1710053327")</f>
        <v>1710053327</v>
      </c>
      <c r="E3039" t="s">
        <v>3027</v>
      </c>
      <c r="F3039" t="s">
        <v>12</v>
      </c>
      <c r="G3039" s="20">
        <v>1</v>
      </c>
      <c r="H3039" t="s">
        <v>4349</v>
      </c>
      <c r="I3039" t="s">
        <v>4357</v>
      </c>
      <c r="J3039" s="9"/>
      <c r="K3039" s="9"/>
      <c r="L3039" s="9"/>
    </row>
    <row r="3040" spans="2:12" ht="15" x14ac:dyDescent="0.25">
      <c r="B3040" t="s">
        <v>2102</v>
      </c>
      <c r="C3040" t="s">
        <v>2103</v>
      </c>
      <c r="D3040" t="str">
        <f>HYPERLINK("https://rhld.insurance.arkansas.gov/NPILookup?Npi=1710151204","1710151204")</f>
        <v>1710151204</v>
      </c>
      <c r="E3040" t="s">
        <v>4596</v>
      </c>
      <c r="F3040" t="s">
        <v>12</v>
      </c>
      <c r="G3040" s="20">
        <v>1</v>
      </c>
      <c r="H3040" t="s">
        <v>4349</v>
      </c>
      <c r="I3040" t="s">
        <v>32</v>
      </c>
      <c r="J3040" s="9"/>
      <c r="K3040" s="9"/>
      <c r="L3040" s="9"/>
    </row>
    <row r="3041" spans="2:12" ht="15" x14ac:dyDescent="0.25">
      <c r="B3041" t="s">
        <v>2102</v>
      </c>
      <c r="C3041" t="s">
        <v>2103</v>
      </c>
      <c r="D3041" t="str">
        <f>HYPERLINK("https://rhld.insurance.arkansas.gov/NPILookup?Npi=1710234737","1710234737")</f>
        <v>1710234737</v>
      </c>
      <c r="E3041" t="s">
        <v>3028</v>
      </c>
      <c r="F3041" t="s">
        <v>13</v>
      </c>
      <c r="G3041" s="20">
        <v>1</v>
      </c>
      <c r="H3041" t="s">
        <v>4357</v>
      </c>
      <c r="I3041" t="s">
        <v>4357</v>
      </c>
      <c r="J3041" s="9"/>
      <c r="K3041" s="9"/>
      <c r="L3041" s="9"/>
    </row>
    <row r="3042" spans="2:12" ht="15" x14ac:dyDescent="0.25">
      <c r="B3042" t="s">
        <v>2102</v>
      </c>
      <c r="C3042" t="s">
        <v>2103</v>
      </c>
      <c r="D3042" t="str">
        <f>HYPERLINK("https://rhld.insurance.arkansas.gov/NPILookup?Npi=1710240064","1710240064")</f>
        <v>1710240064</v>
      </c>
      <c r="E3042" t="s">
        <v>3029</v>
      </c>
      <c r="F3042" t="s">
        <v>12</v>
      </c>
      <c r="G3042" s="20">
        <v>1</v>
      </c>
      <c r="H3042" t="s">
        <v>4338</v>
      </c>
      <c r="I3042" t="s">
        <v>32</v>
      </c>
      <c r="J3042" s="9"/>
      <c r="K3042" s="9"/>
      <c r="L3042" s="9"/>
    </row>
    <row r="3043" spans="2:12" ht="15" x14ac:dyDescent="0.25">
      <c r="B3043" t="s">
        <v>2102</v>
      </c>
      <c r="C3043" t="s">
        <v>2103</v>
      </c>
      <c r="D3043" t="str">
        <f>HYPERLINK("https://rhld.insurance.arkansas.gov/NPILookup?Npi=1710295464","1710295464")</f>
        <v>1710295464</v>
      </c>
      <c r="E3043" t="s">
        <v>3030</v>
      </c>
      <c r="F3043" t="s">
        <v>13</v>
      </c>
      <c r="G3043" s="20">
        <v>1</v>
      </c>
      <c r="H3043" t="s">
        <v>4357</v>
      </c>
      <c r="I3043" t="s">
        <v>4357</v>
      </c>
      <c r="J3043" s="9"/>
      <c r="K3043" s="9"/>
      <c r="L3043" s="9"/>
    </row>
    <row r="3044" spans="2:12" ht="15" x14ac:dyDescent="0.25">
      <c r="B3044" t="s">
        <v>2102</v>
      </c>
      <c r="C3044" t="s">
        <v>2103</v>
      </c>
      <c r="D3044" t="str">
        <f>HYPERLINK("https://rhld.insurance.arkansas.gov/NPILookup?Npi=1710329487","1710329487")</f>
        <v>1710329487</v>
      </c>
      <c r="E3044" t="s">
        <v>3031</v>
      </c>
      <c r="F3044" t="s">
        <v>12</v>
      </c>
      <c r="G3044" s="20">
        <v>1</v>
      </c>
      <c r="H3044" t="s">
        <v>4349</v>
      </c>
      <c r="I3044" t="s">
        <v>32</v>
      </c>
      <c r="J3044" s="9"/>
      <c r="K3044" s="9"/>
      <c r="L3044" s="9"/>
    </row>
    <row r="3045" spans="2:12" ht="15" x14ac:dyDescent="0.25">
      <c r="B3045" t="s">
        <v>2102</v>
      </c>
      <c r="C3045" t="s">
        <v>2103</v>
      </c>
      <c r="D3045" t="str">
        <f>HYPERLINK("https://rhld.insurance.arkansas.gov/NPILookup?Npi=1710332846","1710332846")</f>
        <v>1710332846</v>
      </c>
      <c r="E3045" t="s">
        <v>3032</v>
      </c>
      <c r="F3045" t="s">
        <v>12</v>
      </c>
      <c r="G3045" s="20">
        <v>1</v>
      </c>
      <c r="H3045" t="s">
        <v>4349</v>
      </c>
      <c r="I3045" t="s">
        <v>32</v>
      </c>
      <c r="J3045" s="9"/>
      <c r="K3045" s="9"/>
      <c r="L3045" s="9"/>
    </row>
    <row r="3046" spans="2:12" ht="15" x14ac:dyDescent="0.25">
      <c r="B3046" t="s">
        <v>2102</v>
      </c>
      <c r="C3046" t="s">
        <v>2103</v>
      </c>
      <c r="D3046" t="str">
        <f>HYPERLINK("https://rhld.insurance.arkansas.gov/NPILookup?Npi=1710361464","1710361464")</f>
        <v>1710361464</v>
      </c>
      <c r="E3046" t="s">
        <v>3033</v>
      </c>
      <c r="F3046" t="s">
        <v>12</v>
      </c>
      <c r="G3046" s="20">
        <v>1</v>
      </c>
      <c r="H3046" t="s">
        <v>4338</v>
      </c>
      <c r="I3046" t="s">
        <v>32</v>
      </c>
      <c r="J3046" s="9"/>
      <c r="K3046" s="9"/>
      <c r="L3046" s="9"/>
    </row>
    <row r="3047" spans="2:12" ht="15" x14ac:dyDescent="0.25">
      <c r="B3047" t="s">
        <v>2102</v>
      </c>
      <c r="C3047" t="s">
        <v>2103</v>
      </c>
      <c r="D3047" t="str">
        <f>HYPERLINK("https://rhld.insurance.arkansas.gov/NPILookup?Npi=1710370069","1710370069")</f>
        <v>1710370069</v>
      </c>
      <c r="E3047" t="s">
        <v>3034</v>
      </c>
      <c r="F3047" t="s">
        <v>12</v>
      </c>
      <c r="G3047" s="20">
        <v>1</v>
      </c>
      <c r="H3047" t="s">
        <v>4338</v>
      </c>
      <c r="I3047" t="s">
        <v>32</v>
      </c>
      <c r="J3047" s="9"/>
      <c r="K3047" s="9"/>
      <c r="L3047" s="9"/>
    </row>
    <row r="3048" spans="2:12" ht="15" x14ac:dyDescent="0.25">
      <c r="B3048" t="s">
        <v>2102</v>
      </c>
      <c r="C3048" t="s">
        <v>2103</v>
      </c>
      <c r="D3048" t="str">
        <f>HYPERLINK("https://rhld.insurance.arkansas.gov/NPILookup?Npi=1710396486","1710396486")</f>
        <v>1710396486</v>
      </c>
      <c r="E3048" t="s">
        <v>1431</v>
      </c>
      <c r="F3048" t="s">
        <v>12</v>
      </c>
      <c r="G3048" s="20">
        <v>1</v>
      </c>
      <c r="H3048" t="s">
        <v>4349</v>
      </c>
      <c r="I3048" t="s">
        <v>4357</v>
      </c>
      <c r="J3048" s="9"/>
      <c r="K3048" s="9"/>
      <c r="L3048" s="9"/>
    </row>
    <row r="3049" spans="2:12" ht="15" x14ac:dyDescent="0.25">
      <c r="B3049" t="s">
        <v>2102</v>
      </c>
      <c r="C3049" t="s">
        <v>2103</v>
      </c>
      <c r="D3049" t="str">
        <f>HYPERLINK("https://rhld.insurance.arkansas.gov/NPILookup?Npi=1710482286","1710482286")</f>
        <v>1710482286</v>
      </c>
      <c r="E3049" t="s">
        <v>3035</v>
      </c>
      <c r="F3049" t="s">
        <v>12</v>
      </c>
      <c r="G3049" s="20">
        <v>1</v>
      </c>
      <c r="H3049" t="s">
        <v>4349</v>
      </c>
      <c r="I3049" t="s">
        <v>4357</v>
      </c>
      <c r="J3049" s="9"/>
      <c r="K3049" s="9"/>
      <c r="L3049" s="9"/>
    </row>
    <row r="3050" spans="2:12" ht="15" x14ac:dyDescent="0.25">
      <c r="B3050" t="s">
        <v>2102</v>
      </c>
      <c r="C3050" t="s">
        <v>2103</v>
      </c>
      <c r="D3050" t="str">
        <f>HYPERLINK("https://rhld.insurance.arkansas.gov/NPILookup?Npi=1710619085","1710619085")</f>
        <v>1710619085</v>
      </c>
      <c r="E3050" t="s">
        <v>1140</v>
      </c>
      <c r="F3050" t="s">
        <v>13</v>
      </c>
      <c r="G3050" s="20">
        <v>1</v>
      </c>
      <c r="H3050" t="s">
        <v>4357</v>
      </c>
      <c r="I3050" t="s">
        <v>4357</v>
      </c>
      <c r="J3050" s="9"/>
      <c r="K3050" s="9"/>
      <c r="L3050" s="9"/>
    </row>
    <row r="3051" spans="2:12" ht="15" x14ac:dyDescent="0.25">
      <c r="B3051" t="s">
        <v>2102</v>
      </c>
      <c r="C3051" t="s">
        <v>2103</v>
      </c>
      <c r="D3051" t="str">
        <f>HYPERLINK("https://rhld.insurance.arkansas.gov/NPILookup?Npi=1710649652","1710649652")</f>
        <v>1710649652</v>
      </c>
      <c r="E3051" t="s">
        <v>3036</v>
      </c>
      <c r="F3051" t="s">
        <v>13</v>
      </c>
      <c r="G3051" s="20">
        <v>1</v>
      </c>
      <c r="H3051" t="s">
        <v>4357</v>
      </c>
      <c r="I3051" t="s">
        <v>4357</v>
      </c>
      <c r="J3051" s="9"/>
      <c r="K3051" s="9"/>
      <c r="L3051" s="9"/>
    </row>
    <row r="3052" spans="2:12" ht="15" x14ac:dyDescent="0.25">
      <c r="B3052" t="s">
        <v>2102</v>
      </c>
      <c r="C3052" t="s">
        <v>2103</v>
      </c>
      <c r="D3052" t="str">
        <f>HYPERLINK("https://rhld.insurance.arkansas.gov/NPILookup?Npi=1710706692","1710706692")</f>
        <v>1710706692</v>
      </c>
      <c r="E3052" t="s">
        <v>3037</v>
      </c>
      <c r="F3052" t="s">
        <v>13</v>
      </c>
      <c r="G3052" s="20">
        <v>1</v>
      </c>
      <c r="H3052" t="s">
        <v>4357</v>
      </c>
      <c r="I3052" t="s">
        <v>4357</v>
      </c>
      <c r="J3052" s="9"/>
      <c r="K3052" s="9"/>
      <c r="L3052" s="9"/>
    </row>
    <row r="3053" spans="2:12" ht="15" x14ac:dyDescent="0.25">
      <c r="B3053" t="s">
        <v>2102</v>
      </c>
      <c r="C3053" t="s">
        <v>2103</v>
      </c>
      <c r="D3053" t="str">
        <f>HYPERLINK("https://rhld.insurance.arkansas.gov/NPILookup?Npi=1710984703","1710984703")</f>
        <v>1710984703</v>
      </c>
      <c r="E3053" t="s">
        <v>3038</v>
      </c>
      <c r="F3053" t="s">
        <v>12</v>
      </c>
      <c r="G3053" s="20">
        <v>1</v>
      </c>
      <c r="H3053" t="s">
        <v>4349</v>
      </c>
      <c r="I3053" t="s">
        <v>4357</v>
      </c>
      <c r="J3053" s="9"/>
      <c r="K3053" s="9"/>
      <c r="L3053" s="9"/>
    </row>
    <row r="3054" spans="2:12" ht="15" x14ac:dyDescent="0.25">
      <c r="B3054" t="s">
        <v>2102</v>
      </c>
      <c r="C3054" t="s">
        <v>2103</v>
      </c>
      <c r="D3054" t="str">
        <f>HYPERLINK("https://rhld.insurance.arkansas.gov/NPILookup?Npi=1720021702","1720021702")</f>
        <v>1720021702</v>
      </c>
      <c r="E3054" t="s">
        <v>3039</v>
      </c>
      <c r="F3054" t="s">
        <v>12</v>
      </c>
      <c r="G3054" s="20">
        <v>1</v>
      </c>
      <c r="H3054" t="s">
        <v>4338</v>
      </c>
      <c r="I3054" t="s">
        <v>32</v>
      </c>
      <c r="J3054" s="9"/>
      <c r="K3054" s="9"/>
      <c r="L3054" s="9"/>
    </row>
    <row r="3055" spans="2:12" ht="15" x14ac:dyDescent="0.25">
      <c r="B3055" t="s">
        <v>2102</v>
      </c>
      <c r="C3055" t="s">
        <v>2103</v>
      </c>
      <c r="D3055" t="str">
        <f>HYPERLINK("https://rhld.insurance.arkansas.gov/NPILookup?Npi=1720029069","1720029069")</f>
        <v>1720029069</v>
      </c>
      <c r="E3055" t="s">
        <v>798</v>
      </c>
      <c r="F3055" t="s">
        <v>12</v>
      </c>
      <c r="G3055" s="20">
        <v>1</v>
      </c>
      <c r="H3055" t="s">
        <v>4338</v>
      </c>
      <c r="I3055" t="s">
        <v>32</v>
      </c>
      <c r="J3055" s="9"/>
      <c r="K3055" s="9"/>
      <c r="L3055" s="9"/>
    </row>
    <row r="3056" spans="2:12" ht="15" x14ac:dyDescent="0.25">
      <c r="B3056" t="s">
        <v>2102</v>
      </c>
      <c r="C3056" t="s">
        <v>2103</v>
      </c>
      <c r="D3056" t="str">
        <f>HYPERLINK("https://rhld.insurance.arkansas.gov/NPILookup?Npi=1720041072","1720041072")</f>
        <v>1720041072</v>
      </c>
      <c r="E3056" t="s">
        <v>3040</v>
      </c>
      <c r="F3056" t="s">
        <v>13</v>
      </c>
      <c r="G3056" s="20">
        <v>1</v>
      </c>
      <c r="H3056" t="s">
        <v>87</v>
      </c>
      <c r="I3056" t="s">
        <v>4357</v>
      </c>
      <c r="J3056" s="9"/>
      <c r="K3056" s="9"/>
      <c r="L3056" s="9"/>
    </row>
    <row r="3057" spans="2:12" ht="15" x14ac:dyDescent="0.25">
      <c r="B3057" t="s">
        <v>2102</v>
      </c>
      <c r="C3057" t="s">
        <v>2103</v>
      </c>
      <c r="D3057" t="str">
        <f>HYPERLINK("https://rhld.insurance.arkansas.gov/NPILookup?Npi=1720081789","1720081789")</f>
        <v>1720081789</v>
      </c>
      <c r="E3057" t="s">
        <v>3041</v>
      </c>
      <c r="F3057" t="s">
        <v>12</v>
      </c>
      <c r="G3057" s="20">
        <v>1</v>
      </c>
      <c r="H3057" t="s">
        <v>4349</v>
      </c>
      <c r="I3057" t="s">
        <v>32</v>
      </c>
      <c r="J3057" s="9"/>
      <c r="K3057" s="9"/>
      <c r="L3057" s="9"/>
    </row>
    <row r="3058" spans="2:12" ht="15" x14ac:dyDescent="0.25">
      <c r="B3058" t="s">
        <v>2102</v>
      </c>
      <c r="C3058" t="s">
        <v>2103</v>
      </c>
      <c r="D3058" t="str">
        <f>HYPERLINK("https://rhld.insurance.arkansas.gov/NPILookup?Npi=1720180433","1720180433")</f>
        <v>1720180433</v>
      </c>
      <c r="E3058" t="s">
        <v>4597</v>
      </c>
      <c r="F3058" t="s">
        <v>12</v>
      </c>
      <c r="G3058" s="20">
        <v>1</v>
      </c>
      <c r="H3058" t="s">
        <v>4349</v>
      </c>
      <c r="I3058" t="s">
        <v>4357</v>
      </c>
      <c r="J3058" s="9"/>
      <c r="K3058" s="9"/>
      <c r="L3058" s="9"/>
    </row>
    <row r="3059" spans="2:12" ht="15" x14ac:dyDescent="0.25">
      <c r="B3059" t="s">
        <v>2102</v>
      </c>
      <c r="C3059" t="s">
        <v>2103</v>
      </c>
      <c r="D3059" t="str">
        <f>HYPERLINK("https://rhld.insurance.arkansas.gov/NPILookup?Npi=1720321060","1720321060")</f>
        <v>1720321060</v>
      </c>
      <c r="E3059" t="s">
        <v>800</v>
      </c>
      <c r="F3059" t="s">
        <v>12</v>
      </c>
      <c r="G3059" s="20">
        <v>1</v>
      </c>
      <c r="H3059" t="s">
        <v>4338</v>
      </c>
      <c r="I3059" t="s">
        <v>32</v>
      </c>
      <c r="J3059" s="9"/>
      <c r="K3059" s="9"/>
      <c r="L3059" s="9"/>
    </row>
    <row r="3060" spans="2:12" ht="15" x14ac:dyDescent="0.25">
      <c r="B3060" t="s">
        <v>2102</v>
      </c>
      <c r="C3060" t="s">
        <v>2103</v>
      </c>
      <c r="D3060" t="str">
        <f>HYPERLINK("https://rhld.insurance.arkansas.gov/NPILookup?Npi=1720577380","1720577380")</f>
        <v>1720577380</v>
      </c>
      <c r="E3060" t="s">
        <v>3043</v>
      </c>
      <c r="F3060" t="s">
        <v>12</v>
      </c>
      <c r="G3060" s="20">
        <v>1</v>
      </c>
      <c r="H3060" t="s">
        <v>4349</v>
      </c>
      <c r="I3060" t="s">
        <v>4357</v>
      </c>
      <c r="J3060" s="9"/>
      <c r="K3060" s="9"/>
      <c r="L3060" s="9"/>
    </row>
    <row r="3061" spans="2:12" ht="15" x14ac:dyDescent="0.25">
      <c r="B3061" t="s">
        <v>2102</v>
      </c>
      <c r="C3061" t="s">
        <v>2103</v>
      </c>
      <c r="D3061" t="str">
        <f>HYPERLINK("https://rhld.insurance.arkansas.gov/NPILookup?Npi=1720611361","1720611361")</f>
        <v>1720611361</v>
      </c>
      <c r="E3061" t="s">
        <v>3044</v>
      </c>
      <c r="F3061" t="s">
        <v>13</v>
      </c>
      <c r="G3061" s="20">
        <v>1</v>
      </c>
      <c r="H3061" t="s">
        <v>87</v>
      </c>
      <c r="I3061" t="s">
        <v>32</v>
      </c>
      <c r="J3061" s="9"/>
      <c r="K3061" s="9"/>
      <c r="L3061" s="9"/>
    </row>
    <row r="3062" spans="2:12" ht="15" x14ac:dyDescent="0.25">
      <c r="B3062" t="s">
        <v>2102</v>
      </c>
      <c r="C3062" t="s">
        <v>2103</v>
      </c>
      <c r="D3062" t="str">
        <f>HYPERLINK("https://rhld.insurance.arkansas.gov/NPILookup?Npi=1720716707","1720716707")</f>
        <v>1720716707</v>
      </c>
      <c r="E3062" t="s">
        <v>1800</v>
      </c>
      <c r="F3062" t="s">
        <v>12</v>
      </c>
      <c r="G3062" s="20">
        <v>1</v>
      </c>
      <c r="H3062" t="s">
        <v>4338</v>
      </c>
      <c r="I3062" t="s">
        <v>32</v>
      </c>
      <c r="J3062" s="9"/>
      <c r="K3062" s="9"/>
      <c r="L3062" s="9"/>
    </row>
    <row r="3063" spans="2:12" ht="15" x14ac:dyDescent="0.25">
      <c r="B3063" t="s">
        <v>2102</v>
      </c>
      <c r="C3063" t="s">
        <v>2103</v>
      </c>
      <c r="D3063" t="str">
        <f>HYPERLINK("https://rhld.insurance.arkansas.gov/NPILookup?Npi=1720897705","1720897705")</f>
        <v>1720897705</v>
      </c>
      <c r="E3063" t="s">
        <v>3045</v>
      </c>
      <c r="F3063" t="s">
        <v>13</v>
      </c>
      <c r="G3063" s="20">
        <v>2</v>
      </c>
      <c r="H3063" t="s">
        <v>439</v>
      </c>
      <c r="I3063" t="s">
        <v>4357</v>
      </c>
      <c r="J3063" s="9"/>
      <c r="K3063" s="9"/>
      <c r="L3063" s="9"/>
    </row>
    <row r="3064" spans="2:12" ht="15" x14ac:dyDescent="0.25">
      <c r="B3064" t="s">
        <v>2102</v>
      </c>
      <c r="C3064" t="s">
        <v>2103</v>
      </c>
      <c r="D3064" t="str">
        <f>HYPERLINK("https://rhld.insurance.arkansas.gov/NPILookup?Npi=1730118167","1730118167")</f>
        <v>1730118167</v>
      </c>
      <c r="E3064" t="s">
        <v>3046</v>
      </c>
      <c r="F3064" t="s">
        <v>12</v>
      </c>
      <c r="G3064" s="20">
        <v>1</v>
      </c>
      <c r="H3064" t="s">
        <v>141</v>
      </c>
      <c r="I3064" t="s">
        <v>32</v>
      </c>
      <c r="J3064" s="9"/>
      <c r="K3064" s="9"/>
      <c r="L3064" s="9"/>
    </row>
    <row r="3065" spans="2:12" ht="15" x14ac:dyDescent="0.25">
      <c r="B3065" t="s">
        <v>2102</v>
      </c>
      <c r="C3065" t="s">
        <v>2103</v>
      </c>
      <c r="D3065" t="str">
        <f>HYPERLINK("https://rhld.insurance.arkansas.gov/NPILookup?Npi=1730261686","1730261686")</f>
        <v>1730261686</v>
      </c>
      <c r="E3065" t="s">
        <v>3048</v>
      </c>
      <c r="F3065" t="s">
        <v>12</v>
      </c>
      <c r="G3065" s="20">
        <v>1</v>
      </c>
      <c r="H3065" t="s">
        <v>4349</v>
      </c>
      <c r="I3065" t="s">
        <v>4357</v>
      </c>
      <c r="J3065" s="9"/>
      <c r="K3065" s="9"/>
      <c r="L3065" s="9"/>
    </row>
    <row r="3066" spans="2:12" ht="15" x14ac:dyDescent="0.25">
      <c r="B3066" t="s">
        <v>2102</v>
      </c>
      <c r="C3066" t="s">
        <v>2103</v>
      </c>
      <c r="D3066" t="str">
        <f>HYPERLINK("https://rhld.insurance.arkansas.gov/NPILookup?Npi=1730300476","1730300476")</f>
        <v>1730300476</v>
      </c>
      <c r="E3066" t="s">
        <v>3049</v>
      </c>
      <c r="F3066" t="s">
        <v>12</v>
      </c>
      <c r="G3066" s="20">
        <v>1</v>
      </c>
      <c r="H3066" t="s">
        <v>4349</v>
      </c>
      <c r="I3066" t="s">
        <v>32</v>
      </c>
      <c r="J3066" s="9"/>
      <c r="K3066" s="9"/>
      <c r="L3066" s="9"/>
    </row>
    <row r="3067" spans="2:12" ht="15" x14ac:dyDescent="0.25">
      <c r="B3067" t="s">
        <v>2102</v>
      </c>
      <c r="C3067" t="s">
        <v>2103</v>
      </c>
      <c r="D3067" t="str">
        <f>HYPERLINK("https://rhld.insurance.arkansas.gov/NPILookup?Npi=1730307729","1730307729")</f>
        <v>1730307729</v>
      </c>
      <c r="E3067" t="s">
        <v>3050</v>
      </c>
      <c r="F3067" t="s">
        <v>12</v>
      </c>
      <c r="G3067" s="20">
        <v>1</v>
      </c>
      <c r="H3067" t="s">
        <v>4338</v>
      </c>
      <c r="I3067" t="s">
        <v>32</v>
      </c>
      <c r="J3067" s="9"/>
      <c r="K3067" s="9"/>
      <c r="L3067" s="9"/>
    </row>
    <row r="3068" spans="2:12" ht="15" x14ac:dyDescent="0.25">
      <c r="B3068" t="s">
        <v>2102</v>
      </c>
      <c r="C3068" t="s">
        <v>2103</v>
      </c>
      <c r="D3068" t="str">
        <f>HYPERLINK("https://rhld.insurance.arkansas.gov/NPILookup?Npi=1730337452","1730337452")</f>
        <v>1730337452</v>
      </c>
      <c r="E3068" t="s">
        <v>3051</v>
      </c>
      <c r="F3068" t="s">
        <v>12</v>
      </c>
      <c r="G3068" s="20">
        <v>1</v>
      </c>
      <c r="H3068" t="s">
        <v>4338</v>
      </c>
      <c r="I3068" t="s">
        <v>32</v>
      </c>
      <c r="J3068" s="9"/>
      <c r="K3068" s="9"/>
      <c r="L3068" s="9"/>
    </row>
    <row r="3069" spans="2:12" ht="15" x14ac:dyDescent="0.25">
      <c r="B3069" t="s">
        <v>2102</v>
      </c>
      <c r="C3069" t="s">
        <v>2103</v>
      </c>
      <c r="D3069" t="str">
        <f>HYPERLINK("https://rhld.insurance.arkansas.gov/NPILookup?Npi=1730354333","1730354333")</f>
        <v>1730354333</v>
      </c>
      <c r="E3069" t="s">
        <v>459</v>
      </c>
      <c r="F3069" t="s">
        <v>12</v>
      </c>
      <c r="G3069" s="20">
        <v>1</v>
      </c>
      <c r="H3069" t="s">
        <v>4338</v>
      </c>
      <c r="I3069" t="s">
        <v>32</v>
      </c>
      <c r="J3069" s="9"/>
      <c r="K3069" s="9"/>
      <c r="L3069" s="9"/>
    </row>
    <row r="3070" spans="2:12" ht="15" x14ac:dyDescent="0.25">
      <c r="B3070" t="s">
        <v>2102</v>
      </c>
      <c r="C3070" t="s">
        <v>2103</v>
      </c>
      <c r="D3070" t="str">
        <f>HYPERLINK("https://rhld.insurance.arkansas.gov/NPILookup?Npi=1730398660","1730398660")</f>
        <v>1730398660</v>
      </c>
      <c r="E3070" t="s">
        <v>4598</v>
      </c>
      <c r="F3070" t="s">
        <v>12</v>
      </c>
      <c r="G3070" s="20">
        <v>1</v>
      </c>
      <c r="H3070" t="s">
        <v>4349</v>
      </c>
      <c r="I3070" t="s">
        <v>32</v>
      </c>
      <c r="J3070" s="9"/>
      <c r="K3070" s="9"/>
      <c r="L3070" s="9"/>
    </row>
    <row r="3071" spans="2:12" ht="15" x14ac:dyDescent="0.25">
      <c r="B3071" t="s">
        <v>2102</v>
      </c>
      <c r="C3071" t="s">
        <v>2103</v>
      </c>
      <c r="D3071" t="str">
        <f>HYPERLINK("https://rhld.insurance.arkansas.gov/NPILookup?Npi=1730403262","1730403262")</f>
        <v>1730403262</v>
      </c>
      <c r="E3071" t="s">
        <v>806</v>
      </c>
      <c r="F3071" t="s">
        <v>12</v>
      </c>
      <c r="G3071" s="20">
        <v>1</v>
      </c>
      <c r="H3071" t="s">
        <v>4349</v>
      </c>
      <c r="I3071" t="s">
        <v>32</v>
      </c>
      <c r="J3071" s="9"/>
      <c r="K3071" s="9"/>
      <c r="L3071" s="9"/>
    </row>
    <row r="3072" spans="2:12" ht="15" x14ac:dyDescent="0.25">
      <c r="B3072" t="s">
        <v>2102</v>
      </c>
      <c r="C3072" t="s">
        <v>2103</v>
      </c>
      <c r="D3072" t="str">
        <f>HYPERLINK("https://rhld.insurance.arkansas.gov/NPILookup?Npi=1730404120","1730404120")</f>
        <v>1730404120</v>
      </c>
      <c r="E3072" t="s">
        <v>128</v>
      </c>
      <c r="F3072" t="s">
        <v>12</v>
      </c>
      <c r="G3072" s="20">
        <v>1</v>
      </c>
      <c r="H3072" t="s">
        <v>4338</v>
      </c>
      <c r="I3072" t="s">
        <v>32</v>
      </c>
      <c r="J3072" s="9"/>
      <c r="K3072" s="9"/>
      <c r="L3072" s="9"/>
    </row>
    <row r="3073" spans="2:12" ht="15" x14ac:dyDescent="0.25">
      <c r="B3073" t="s">
        <v>2102</v>
      </c>
      <c r="C3073" t="s">
        <v>2103</v>
      </c>
      <c r="D3073" t="str">
        <f>HYPERLINK("https://rhld.insurance.arkansas.gov/NPILookup?Npi=1730508151","1730508151")</f>
        <v>1730508151</v>
      </c>
      <c r="E3073" t="s">
        <v>3053</v>
      </c>
      <c r="F3073" t="s">
        <v>12</v>
      </c>
      <c r="G3073" s="20">
        <v>1</v>
      </c>
      <c r="H3073" t="s">
        <v>4338</v>
      </c>
      <c r="I3073" t="s">
        <v>32</v>
      </c>
      <c r="J3073" s="9"/>
      <c r="K3073" s="9"/>
      <c r="L3073" s="9"/>
    </row>
    <row r="3074" spans="2:12" ht="15" x14ac:dyDescent="0.25">
      <c r="B3074" t="s">
        <v>2102</v>
      </c>
      <c r="C3074" t="s">
        <v>2103</v>
      </c>
      <c r="D3074" t="str">
        <f>HYPERLINK("https://rhld.insurance.arkansas.gov/NPILookup?Npi=1730575200","1730575200")</f>
        <v>1730575200</v>
      </c>
      <c r="E3074" t="s">
        <v>3054</v>
      </c>
      <c r="F3074" t="s">
        <v>12</v>
      </c>
      <c r="G3074" s="20">
        <v>1</v>
      </c>
      <c r="H3074" t="s">
        <v>4349</v>
      </c>
      <c r="I3074" t="s">
        <v>4357</v>
      </c>
      <c r="J3074" s="9"/>
      <c r="K3074" s="9"/>
      <c r="L3074" s="9"/>
    </row>
    <row r="3075" spans="2:12" ht="15" x14ac:dyDescent="0.25">
      <c r="B3075" t="s">
        <v>2102</v>
      </c>
      <c r="C3075" t="s">
        <v>2103</v>
      </c>
      <c r="D3075" t="str">
        <f>HYPERLINK("https://rhld.insurance.arkansas.gov/NPILookup?Npi=1730661570","1730661570")</f>
        <v>1730661570</v>
      </c>
      <c r="E3075" t="s">
        <v>3055</v>
      </c>
      <c r="F3075" t="s">
        <v>12</v>
      </c>
      <c r="G3075" s="20">
        <v>1</v>
      </c>
      <c r="H3075" t="s">
        <v>4338</v>
      </c>
      <c r="I3075" t="s">
        <v>32</v>
      </c>
      <c r="J3075" s="9"/>
      <c r="K3075" s="9"/>
      <c r="L3075" s="9"/>
    </row>
    <row r="3076" spans="2:12" ht="15" x14ac:dyDescent="0.25">
      <c r="B3076" t="s">
        <v>2102</v>
      </c>
      <c r="C3076" t="s">
        <v>2103</v>
      </c>
      <c r="D3076" t="str">
        <f>HYPERLINK("https://rhld.insurance.arkansas.gov/NPILookup?Npi=1730706805","1730706805")</f>
        <v>1730706805</v>
      </c>
      <c r="E3076" t="s">
        <v>3057</v>
      </c>
      <c r="F3076" t="s">
        <v>12</v>
      </c>
      <c r="G3076" s="20">
        <v>1</v>
      </c>
      <c r="H3076" t="s">
        <v>4349</v>
      </c>
      <c r="I3076" t="s">
        <v>32</v>
      </c>
      <c r="J3076" s="9"/>
      <c r="K3076" s="9"/>
      <c r="L3076" s="9"/>
    </row>
    <row r="3077" spans="2:12" ht="15" x14ac:dyDescent="0.25">
      <c r="B3077" t="s">
        <v>2102</v>
      </c>
      <c r="C3077" t="s">
        <v>2103</v>
      </c>
      <c r="D3077" t="str">
        <f>HYPERLINK("https://rhld.insurance.arkansas.gov/NPILookup?Npi=1730901588","1730901588")</f>
        <v>1730901588</v>
      </c>
      <c r="E3077" t="s">
        <v>1802</v>
      </c>
      <c r="F3077" t="s">
        <v>13</v>
      </c>
      <c r="G3077" s="20">
        <v>1</v>
      </c>
      <c r="H3077" t="s">
        <v>4357</v>
      </c>
      <c r="I3077" t="s">
        <v>4357</v>
      </c>
      <c r="J3077" s="9"/>
      <c r="K3077" s="9"/>
      <c r="L3077" s="9"/>
    </row>
    <row r="3078" spans="2:12" ht="15" x14ac:dyDescent="0.25">
      <c r="B3078" t="s">
        <v>2102</v>
      </c>
      <c r="C3078" t="s">
        <v>2103</v>
      </c>
      <c r="D3078" t="str">
        <f>HYPERLINK("https://rhld.insurance.arkansas.gov/NPILookup?Npi=1730958968","1730958968")</f>
        <v>1730958968</v>
      </c>
      <c r="E3078" t="s">
        <v>2091</v>
      </c>
      <c r="F3078" t="s">
        <v>13</v>
      </c>
      <c r="G3078" s="20">
        <v>1</v>
      </c>
      <c r="H3078" t="s">
        <v>4357</v>
      </c>
      <c r="I3078" t="s">
        <v>4357</v>
      </c>
      <c r="J3078" s="9"/>
      <c r="K3078" s="9"/>
      <c r="L3078" s="9"/>
    </row>
    <row r="3079" spans="2:12" ht="15" x14ac:dyDescent="0.25">
      <c r="B3079" t="s">
        <v>2102</v>
      </c>
      <c r="C3079" t="s">
        <v>2103</v>
      </c>
      <c r="D3079" t="str">
        <f>HYPERLINK("https://rhld.insurance.arkansas.gov/NPILookup?Npi=1740026517","1740026517")</f>
        <v>1740026517</v>
      </c>
      <c r="E3079" t="s">
        <v>3059</v>
      </c>
      <c r="F3079" t="s">
        <v>13</v>
      </c>
      <c r="G3079" s="20">
        <v>1</v>
      </c>
      <c r="H3079" t="s">
        <v>4357</v>
      </c>
      <c r="I3079" t="s">
        <v>4357</v>
      </c>
      <c r="J3079" s="9"/>
      <c r="K3079" s="9"/>
      <c r="L3079" s="9"/>
    </row>
    <row r="3080" spans="2:12" ht="15" x14ac:dyDescent="0.25">
      <c r="B3080" t="s">
        <v>2102</v>
      </c>
      <c r="C3080" t="s">
        <v>2103</v>
      </c>
      <c r="D3080" t="str">
        <f>HYPERLINK("https://rhld.insurance.arkansas.gov/NPILookup?Npi=1740273184","1740273184")</f>
        <v>1740273184</v>
      </c>
      <c r="E3080" t="s">
        <v>4599</v>
      </c>
      <c r="F3080" t="s">
        <v>12</v>
      </c>
      <c r="G3080" s="20">
        <v>1</v>
      </c>
      <c r="H3080" t="s">
        <v>4349</v>
      </c>
      <c r="I3080" t="s">
        <v>32</v>
      </c>
      <c r="J3080" s="9"/>
      <c r="K3080" s="9"/>
      <c r="L3080" s="9"/>
    </row>
    <row r="3081" spans="2:12" ht="15" x14ac:dyDescent="0.25">
      <c r="B3081" t="s">
        <v>2102</v>
      </c>
      <c r="C3081" t="s">
        <v>2103</v>
      </c>
      <c r="D3081" t="str">
        <f>HYPERLINK("https://rhld.insurance.arkansas.gov/NPILookup?Npi=1740404904","1740404904")</f>
        <v>1740404904</v>
      </c>
      <c r="E3081" t="s">
        <v>4600</v>
      </c>
      <c r="F3081" t="s">
        <v>12</v>
      </c>
      <c r="G3081" s="20">
        <v>1</v>
      </c>
      <c r="H3081" t="s">
        <v>4349</v>
      </c>
      <c r="I3081" t="s">
        <v>32</v>
      </c>
      <c r="J3081" s="9"/>
      <c r="K3081" s="9"/>
      <c r="L3081" s="9"/>
    </row>
    <row r="3082" spans="2:12" ht="15" x14ac:dyDescent="0.25">
      <c r="B3082" t="s">
        <v>2102</v>
      </c>
      <c r="C3082" t="s">
        <v>2103</v>
      </c>
      <c r="D3082" t="str">
        <f>HYPERLINK("https://rhld.insurance.arkansas.gov/NPILookup?Npi=1740411370","1740411370")</f>
        <v>1740411370</v>
      </c>
      <c r="E3082" t="s">
        <v>3061</v>
      </c>
      <c r="F3082" t="s">
        <v>12</v>
      </c>
      <c r="G3082" s="20">
        <v>1</v>
      </c>
      <c r="H3082" t="s">
        <v>4338</v>
      </c>
      <c r="I3082" t="s">
        <v>4357</v>
      </c>
      <c r="J3082" s="9"/>
      <c r="K3082" s="9"/>
      <c r="L3082" s="9"/>
    </row>
    <row r="3083" spans="2:12" ht="15" x14ac:dyDescent="0.25">
      <c r="B3083" t="s">
        <v>2102</v>
      </c>
      <c r="C3083" t="s">
        <v>2103</v>
      </c>
      <c r="D3083" t="str">
        <f>HYPERLINK("https://rhld.insurance.arkansas.gov/NPILookup?Npi=1740517192","1740517192")</f>
        <v>1740517192</v>
      </c>
      <c r="E3083" t="s">
        <v>3062</v>
      </c>
      <c r="F3083" t="s">
        <v>12</v>
      </c>
      <c r="G3083" s="20">
        <v>1</v>
      </c>
      <c r="H3083" t="s">
        <v>4338</v>
      </c>
      <c r="I3083" t="s">
        <v>32</v>
      </c>
      <c r="J3083" s="9"/>
      <c r="K3083" s="9"/>
      <c r="L3083" s="9"/>
    </row>
    <row r="3084" spans="2:12" ht="15" x14ac:dyDescent="0.25">
      <c r="B3084" t="s">
        <v>2102</v>
      </c>
      <c r="C3084" t="s">
        <v>2103</v>
      </c>
      <c r="D3084" t="str">
        <f>HYPERLINK("https://rhld.insurance.arkansas.gov/NPILookup?Npi=1740614627","1740614627")</f>
        <v>1740614627</v>
      </c>
      <c r="E3084" t="s">
        <v>3063</v>
      </c>
      <c r="F3084" t="s">
        <v>12</v>
      </c>
      <c r="G3084" s="20">
        <v>1</v>
      </c>
      <c r="H3084" t="s">
        <v>4338</v>
      </c>
      <c r="I3084" t="s">
        <v>32</v>
      </c>
      <c r="J3084" s="9"/>
      <c r="K3084" s="9"/>
      <c r="L3084" s="9"/>
    </row>
    <row r="3085" spans="2:12" ht="15" x14ac:dyDescent="0.25">
      <c r="B3085" t="s">
        <v>2102</v>
      </c>
      <c r="C3085" t="s">
        <v>2103</v>
      </c>
      <c r="D3085" t="str">
        <f>HYPERLINK("https://rhld.insurance.arkansas.gov/NPILookup?Npi=1740700368","1740700368")</f>
        <v>1740700368</v>
      </c>
      <c r="E3085" t="s">
        <v>3065</v>
      </c>
      <c r="F3085" t="s">
        <v>13</v>
      </c>
      <c r="G3085" s="20">
        <v>1</v>
      </c>
      <c r="H3085" t="s">
        <v>4357</v>
      </c>
      <c r="I3085" t="s">
        <v>4357</v>
      </c>
      <c r="J3085" s="9"/>
      <c r="K3085" s="9"/>
      <c r="L3085" s="9"/>
    </row>
    <row r="3086" spans="2:12" ht="15" x14ac:dyDescent="0.25">
      <c r="B3086" t="s">
        <v>2102</v>
      </c>
      <c r="C3086" t="s">
        <v>2103</v>
      </c>
      <c r="D3086" t="str">
        <f>HYPERLINK("https://rhld.insurance.arkansas.gov/NPILookup?Npi=1740703180","1740703180")</f>
        <v>1740703180</v>
      </c>
      <c r="E3086" t="s">
        <v>3066</v>
      </c>
      <c r="F3086" t="s">
        <v>13</v>
      </c>
      <c r="G3086" s="20">
        <v>1</v>
      </c>
      <c r="H3086" t="s">
        <v>4357</v>
      </c>
      <c r="I3086" t="s">
        <v>4357</v>
      </c>
      <c r="J3086" s="9"/>
      <c r="K3086" s="9"/>
      <c r="L3086" s="9"/>
    </row>
    <row r="3087" spans="2:12" ht="15" x14ac:dyDescent="0.25">
      <c r="B3087" t="s">
        <v>2102</v>
      </c>
      <c r="C3087" t="s">
        <v>2103</v>
      </c>
      <c r="D3087" t="str">
        <f>HYPERLINK("https://rhld.insurance.arkansas.gov/NPILookup?Npi=1740811348","1740811348")</f>
        <v>1740811348</v>
      </c>
      <c r="E3087" t="s">
        <v>1807</v>
      </c>
      <c r="F3087" t="s">
        <v>12</v>
      </c>
      <c r="G3087" s="20">
        <v>1</v>
      </c>
      <c r="H3087" t="s">
        <v>4338</v>
      </c>
      <c r="I3087" t="s">
        <v>32</v>
      </c>
      <c r="J3087" s="9"/>
      <c r="K3087" s="9"/>
      <c r="L3087" s="9"/>
    </row>
    <row r="3088" spans="2:12" ht="15" x14ac:dyDescent="0.25">
      <c r="B3088" t="s">
        <v>2102</v>
      </c>
      <c r="C3088" t="s">
        <v>2103</v>
      </c>
      <c r="D3088" t="str">
        <f>HYPERLINK("https://rhld.insurance.arkansas.gov/NPILookup?Npi=1740917129","1740917129")</f>
        <v>1740917129</v>
      </c>
      <c r="E3088" t="s">
        <v>3068</v>
      </c>
      <c r="F3088" t="s">
        <v>13</v>
      </c>
      <c r="G3088" s="20">
        <v>1</v>
      </c>
      <c r="H3088" t="s">
        <v>4357</v>
      </c>
      <c r="I3088" t="s">
        <v>4357</v>
      </c>
      <c r="J3088" s="9"/>
      <c r="K3088" s="9"/>
      <c r="L3088" s="9"/>
    </row>
    <row r="3089" spans="2:12" ht="15" x14ac:dyDescent="0.25">
      <c r="B3089" t="s">
        <v>2102</v>
      </c>
      <c r="C3089" t="s">
        <v>2103</v>
      </c>
      <c r="D3089" t="str">
        <f>HYPERLINK("https://rhld.insurance.arkansas.gov/NPILookup?Npi=1740924455","1740924455")</f>
        <v>1740924455</v>
      </c>
      <c r="E3089" t="s">
        <v>3070</v>
      </c>
      <c r="F3089" t="s">
        <v>12</v>
      </c>
      <c r="G3089" s="20">
        <v>1</v>
      </c>
      <c r="H3089" t="s">
        <v>4338</v>
      </c>
      <c r="I3089" t="s">
        <v>32</v>
      </c>
      <c r="J3089" s="9"/>
      <c r="K3089" s="9"/>
      <c r="L3089" s="9"/>
    </row>
    <row r="3090" spans="2:12" ht="15" x14ac:dyDescent="0.25">
      <c r="B3090" t="s">
        <v>2102</v>
      </c>
      <c r="C3090" t="s">
        <v>2103</v>
      </c>
      <c r="D3090" t="str">
        <f>HYPERLINK("https://rhld.insurance.arkansas.gov/NPILookup?Npi=1740961762","1740961762")</f>
        <v>1740961762</v>
      </c>
      <c r="E3090" t="s">
        <v>3072</v>
      </c>
      <c r="F3090" t="s">
        <v>13</v>
      </c>
      <c r="G3090" s="20">
        <v>2</v>
      </c>
      <c r="H3090" t="s">
        <v>439</v>
      </c>
      <c r="I3090" t="s">
        <v>4357</v>
      </c>
      <c r="J3090" s="9"/>
      <c r="K3090" s="9"/>
      <c r="L3090" s="9"/>
    </row>
    <row r="3091" spans="2:12" ht="15" x14ac:dyDescent="0.25">
      <c r="B3091" t="s">
        <v>2102</v>
      </c>
      <c r="C3091" t="s">
        <v>2103</v>
      </c>
      <c r="D3091" t="str">
        <f>HYPERLINK("https://rhld.insurance.arkansas.gov/NPILookup?Npi=1750100681","1750100681")</f>
        <v>1750100681</v>
      </c>
      <c r="E3091" t="s">
        <v>3073</v>
      </c>
      <c r="F3091" t="s">
        <v>13</v>
      </c>
      <c r="G3091" s="20">
        <v>1</v>
      </c>
      <c r="H3091" t="s">
        <v>4357</v>
      </c>
      <c r="I3091" t="s">
        <v>4357</v>
      </c>
      <c r="J3091" s="9"/>
      <c r="K3091" s="9"/>
      <c r="L3091" s="9"/>
    </row>
    <row r="3092" spans="2:12" ht="15" x14ac:dyDescent="0.25">
      <c r="B3092" t="s">
        <v>2102</v>
      </c>
      <c r="C3092" t="s">
        <v>2103</v>
      </c>
      <c r="D3092" t="str">
        <f>HYPERLINK("https://rhld.insurance.arkansas.gov/NPILookup?Npi=1750410999","1750410999")</f>
        <v>1750410999</v>
      </c>
      <c r="E3092" t="s">
        <v>4601</v>
      </c>
      <c r="F3092" t="s">
        <v>12</v>
      </c>
      <c r="G3092" s="20">
        <v>1</v>
      </c>
      <c r="H3092" t="s">
        <v>4349</v>
      </c>
      <c r="I3092" t="s">
        <v>32</v>
      </c>
      <c r="J3092" s="9"/>
      <c r="K3092" s="9"/>
      <c r="L3092" s="9"/>
    </row>
    <row r="3093" spans="2:12" ht="15" x14ac:dyDescent="0.25">
      <c r="B3093" t="s">
        <v>2102</v>
      </c>
      <c r="C3093" t="s">
        <v>2103</v>
      </c>
      <c r="D3093" t="str">
        <f>HYPERLINK("https://rhld.insurance.arkansas.gov/NPILookup?Npi=1750433256","1750433256")</f>
        <v>1750433256</v>
      </c>
      <c r="E3093" t="s">
        <v>3074</v>
      </c>
      <c r="F3093" t="s">
        <v>12</v>
      </c>
      <c r="G3093" s="20">
        <v>1</v>
      </c>
      <c r="H3093" t="s">
        <v>4338</v>
      </c>
      <c r="I3093" t="s">
        <v>4357</v>
      </c>
      <c r="J3093" s="9"/>
      <c r="K3093" s="9"/>
      <c r="L3093" s="9"/>
    </row>
    <row r="3094" spans="2:12" ht="15" x14ac:dyDescent="0.25">
      <c r="B3094" t="s">
        <v>2102</v>
      </c>
      <c r="C3094" t="s">
        <v>2103</v>
      </c>
      <c r="D3094" t="str">
        <f>HYPERLINK("https://rhld.insurance.arkansas.gov/NPILookup?Npi=1750471231","1750471231")</f>
        <v>1750471231</v>
      </c>
      <c r="E3094" t="s">
        <v>3075</v>
      </c>
      <c r="F3094" t="s">
        <v>12</v>
      </c>
      <c r="G3094" s="20">
        <v>1</v>
      </c>
      <c r="H3094" t="s">
        <v>4349</v>
      </c>
      <c r="I3094" t="s">
        <v>32</v>
      </c>
      <c r="J3094" s="9"/>
      <c r="K3094" s="9"/>
      <c r="L3094" s="9"/>
    </row>
    <row r="3095" spans="2:12" ht="15" x14ac:dyDescent="0.25">
      <c r="B3095" t="s">
        <v>2102</v>
      </c>
      <c r="C3095" t="s">
        <v>2103</v>
      </c>
      <c r="D3095" t="str">
        <f>HYPERLINK("https://rhld.insurance.arkansas.gov/NPILookup?Npi=1750518072","1750518072")</f>
        <v>1750518072</v>
      </c>
      <c r="E3095" t="s">
        <v>814</v>
      </c>
      <c r="F3095" t="s">
        <v>12</v>
      </c>
      <c r="G3095" s="20">
        <v>1</v>
      </c>
      <c r="H3095" t="s">
        <v>4338</v>
      </c>
      <c r="I3095" t="s">
        <v>32</v>
      </c>
      <c r="J3095" s="9"/>
      <c r="K3095" s="9"/>
      <c r="L3095" s="9"/>
    </row>
    <row r="3096" spans="2:12" ht="15" x14ac:dyDescent="0.25">
      <c r="B3096" t="s">
        <v>2102</v>
      </c>
      <c r="C3096" t="s">
        <v>2103</v>
      </c>
      <c r="D3096" t="str">
        <f>HYPERLINK("https://rhld.insurance.arkansas.gov/NPILookup?Npi=1750523544","1750523544")</f>
        <v>1750523544</v>
      </c>
      <c r="E3096" t="s">
        <v>3076</v>
      </c>
      <c r="F3096" t="s">
        <v>12</v>
      </c>
      <c r="G3096" s="20">
        <v>1</v>
      </c>
      <c r="H3096" t="s">
        <v>4349</v>
      </c>
      <c r="I3096" t="s">
        <v>32</v>
      </c>
      <c r="J3096" s="9"/>
      <c r="K3096" s="9"/>
      <c r="L3096" s="9"/>
    </row>
    <row r="3097" spans="2:12" ht="15" x14ac:dyDescent="0.25">
      <c r="B3097" t="s">
        <v>2102</v>
      </c>
      <c r="C3097" t="s">
        <v>2103</v>
      </c>
      <c r="D3097" t="str">
        <f>HYPERLINK("https://rhld.insurance.arkansas.gov/NPILookup?Npi=1750570917","1750570917")</f>
        <v>1750570917</v>
      </c>
      <c r="E3097" t="s">
        <v>3077</v>
      </c>
      <c r="F3097" t="s">
        <v>12</v>
      </c>
      <c r="G3097" s="20">
        <v>1</v>
      </c>
      <c r="H3097" t="s">
        <v>4338</v>
      </c>
      <c r="I3097" t="s">
        <v>4357</v>
      </c>
      <c r="J3097" s="9"/>
      <c r="K3097" s="9"/>
      <c r="L3097" s="9"/>
    </row>
    <row r="3098" spans="2:12" ht="15" x14ac:dyDescent="0.25">
      <c r="B3098" t="s">
        <v>2102</v>
      </c>
      <c r="C3098" t="s">
        <v>2103</v>
      </c>
      <c r="D3098" t="str">
        <f>HYPERLINK("https://rhld.insurance.arkansas.gov/NPILookup?Npi=1750612065","1750612065")</f>
        <v>1750612065</v>
      </c>
      <c r="E3098" t="s">
        <v>3078</v>
      </c>
      <c r="F3098" t="s">
        <v>12</v>
      </c>
      <c r="G3098" s="20">
        <v>1</v>
      </c>
      <c r="H3098" t="s">
        <v>4338</v>
      </c>
      <c r="I3098" t="s">
        <v>32</v>
      </c>
      <c r="J3098" s="9"/>
      <c r="K3098" s="9"/>
      <c r="L3098" s="9"/>
    </row>
    <row r="3099" spans="2:12" ht="15" x14ac:dyDescent="0.25">
      <c r="B3099" t="s">
        <v>2102</v>
      </c>
      <c r="C3099" t="s">
        <v>2103</v>
      </c>
      <c r="D3099" t="str">
        <f>HYPERLINK("https://rhld.insurance.arkansas.gov/NPILookup?Npi=1750705513","1750705513")</f>
        <v>1750705513</v>
      </c>
      <c r="E3099" t="s">
        <v>3079</v>
      </c>
      <c r="F3099" t="s">
        <v>12</v>
      </c>
      <c r="G3099" s="20">
        <v>1</v>
      </c>
      <c r="H3099" t="s">
        <v>4338</v>
      </c>
      <c r="I3099" t="s">
        <v>32</v>
      </c>
      <c r="J3099" s="9"/>
      <c r="K3099" s="9"/>
      <c r="L3099" s="9"/>
    </row>
    <row r="3100" spans="2:12" ht="15" x14ac:dyDescent="0.25">
      <c r="B3100" t="s">
        <v>2102</v>
      </c>
      <c r="C3100" t="s">
        <v>2103</v>
      </c>
      <c r="D3100" t="str">
        <f>HYPERLINK("https://rhld.insurance.arkansas.gov/NPILookup?Npi=1750767299","1750767299")</f>
        <v>1750767299</v>
      </c>
      <c r="E3100" t="s">
        <v>3081</v>
      </c>
      <c r="F3100" t="s">
        <v>12</v>
      </c>
      <c r="G3100" s="20">
        <v>1</v>
      </c>
      <c r="H3100" t="s">
        <v>4338</v>
      </c>
      <c r="I3100" t="s">
        <v>32</v>
      </c>
      <c r="J3100" s="9"/>
      <c r="K3100" s="9"/>
      <c r="L3100" s="9"/>
    </row>
    <row r="3101" spans="2:12" ht="15" x14ac:dyDescent="0.25">
      <c r="B3101" t="s">
        <v>2102</v>
      </c>
      <c r="C3101" t="s">
        <v>2103</v>
      </c>
      <c r="D3101" t="str">
        <f>HYPERLINK("https://rhld.insurance.arkansas.gov/NPILookup?Npi=1750802823","1750802823")</f>
        <v>1750802823</v>
      </c>
      <c r="E3101" t="s">
        <v>3082</v>
      </c>
      <c r="F3101" t="s">
        <v>12</v>
      </c>
      <c r="G3101" s="20">
        <v>1</v>
      </c>
      <c r="H3101" t="s">
        <v>139</v>
      </c>
      <c r="I3101" t="s">
        <v>32</v>
      </c>
      <c r="J3101" s="9"/>
      <c r="K3101" s="9"/>
      <c r="L3101" s="9"/>
    </row>
    <row r="3102" spans="2:12" ht="15" x14ac:dyDescent="0.25">
      <c r="B3102" t="s">
        <v>2102</v>
      </c>
      <c r="C3102" t="s">
        <v>2103</v>
      </c>
      <c r="D3102" t="str">
        <f>HYPERLINK("https://rhld.insurance.arkansas.gov/NPILookup?Npi=1750878286","1750878286")</f>
        <v>1750878286</v>
      </c>
      <c r="E3102" t="s">
        <v>3084</v>
      </c>
      <c r="F3102" t="s">
        <v>12</v>
      </c>
      <c r="G3102" s="20">
        <v>1</v>
      </c>
      <c r="H3102" t="s">
        <v>4349</v>
      </c>
      <c r="I3102" t="s">
        <v>32</v>
      </c>
      <c r="J3102" s="9"/>
      <c r="K3102" s="9"/>
      <c r="L3102" s="9"/>
    </row>
    <row r="3103" spans="2:12" ht="15" x14ac:dyDescent="0.25">
      <c r="B3103" t="s">
        <v>2102</v>
      </c>
      <c r="C3103" t="s">
        <v>2103</v>
      </c>
      <c r="D3103" t="str">
        <f>HYPERLINK("https://rhld.insurance.arkansas.gov/NPILookup?Npi=1750890034","1750890034")</f>
        <v>1750890034</v>
      </c>
      <c r="E3103" t="s">
        <v>3085</v>
      </c>
      <c r="F3103" t="s">
        <v>13</v>
      </c>
      <c r="G3103" s="20">
        <v>1</v>
      </c>
      <c r="H3103" t="s">
        <v>87</v>
      </c>
      <c r="I3103" t="s">
        <v>32</v>
      </c>
      <c r="J3103" s="9"/>
      <c r="K3103" s="9"/>
      <c r="L3103" s="9"/>
    </row>
    <row r="3104" spans="2:12" ht="15" x14ac:dyDescent="0.25">
      <c r="B3104" t="s">
        <v>2102</v>
      </c>
      <c r="C3104" t="s">
        <v>2103</v>
      </c>
      <c r="D3104" t="str">
        <f>HYPERLINK("https://rhld.insurance.arkansas.gov/NPILookup?Npi=1760208441","1760208441")</f>
        <v>1760208441</v>
      </c>
      <c r="E3104" t="s">
        <v>2092</v>
      </c>
      <c r="F3104" t="s">
        <v>13</v>
      </c>
      <c r="G3104" s="20">
        <v>1</v>
      </c>
      <c r="H3104" t="s">
        <v>4357</v>
      </c>
      <c r="I3104" t="s">
        <v>4357</v>
      </c>
      <c r="J3104" s="9"/>
      <c r="K3104" s="9"/>
      <c r="L3104" s="9"/>
    </row>
    <row r="3105" spans="2:12" ht="15" x14ac:dyDescent="0.25">
      <c r="B3105" t="s">
        <v>2102</v>
      </c>
      <c r="C3105" t="s">
        <v>2103</v>
      </c>
      <c r="D3105" t="str">
        <f>HYPERLINK("https://rhld.insurance.arkansas.gov/NPILookup?Npi=1760411813","1760411813")</f>
        <v>1760411813</v>
      </c>
      <c r="E3105" t="s">
        <v>3087</v>
      </c>
      <c r="F3105" t="s">
        <v>12</v>
      </c>
      <c r="G3105" s="20">
        <v>1</v>
      </c>
      <c r="H3105" t="s">
        <v>139</v>
      </c>
      <c r="I3105" t="s">
        <v>4357</v>
      </c>
      <c r="J3105" s="9"/>
      <c r="K3105" s="9"/>
      <c r="L3105" s="9"/>
    </row>
    <row r="3106" spans="2:12" ht="15" x14ac:dyDescent="0.25">
      <c r="B3106" t="s">
        <v>2102</v>
      </c>
      <c r="C3106" t="s">
        <v>2103</v>
      </c>
      <c r="D3106" t="str">
        <f>HYPERLINK("https://rhld.insurance.arkansas.gov/NPILookup?Npi=1760663579","1760663579")</f>
        <v>1760663579</v>
      </c>
      <c r="E3106" t="s">
        <v>3089</v>
      </c>
      <c r="F3106" t="s">
        <v>12</v>
      </c>
      <c r="G3106" s="20">
        <v>1</v>
      </c>
      <c r="H3106" t="s">
        <v>4349</v>
      </c>
      <c r="I3106" t="s">
        <v>4357</v>
      </c>
      <c r="J3106" s="9"/>
      <c r="K3106" s="9"/>
      <c r="L3106" s="9"/>
    </row>
    <row r="3107" spans="2:12" ht="15" x14ac:dyDescent="0.25">
      <c r="B3107" t="s">
        <v>2102</v>
      </c>
      <c r="C3107" t="s">
        <v>2103</v>
      </c>
      <c r="D3107" t="str">
        <f>HYPERLINK("https://rhld.insurance.arkansas.gov/NPILookup?Npi=1760672497","1760672497")</f>
        <v>1760672497</v>
      </c>
      <c r="E3107" t="s">
        <v>822</v>
      </c>
      <c r="F3107" t="s">
        <v>12</v>
      </c>
      <c r="G3107" s="20">
        <v>1</v>
      </c>
      <c r="H3107" t="s">
        <v>4338</v>
      </c>
      <c r="I3107" t="s">
        <v>4357</v>
      </c>
      <c r="J3107" s="9"/>
      <c r="K3107" s="9"/>
      <c r="L3107" s="9"/>
    </row>
    <row r="3108" spans="2:12" ht="15" x14ac:dyDescent="0.25">
      <c r="B3108" t="s">
        <v>2102</v>
      </c>
      <c r="C3108" t="s">
        <v>2103</v>
      </c>
      <c r="D3108" t="str">
        <f>HYPERLINK("https://rhld.insurance.arkansas.gov/NPILookup?Npi=1760690010","1760690010")</f>
        <v>1760690010</v>
      </c>
      <c r="E3108" t="s">
        <v>3090</v>
      </c>
      <c r="F3108" t="s">
        <v>12</v>
      </c>
      <c r="G3108" s="20">
        <v>1</v>
      </c>
      <c r="H3108" t="s">
        <v>4338</v>
      </c>
      <c r="I3108" t="s">
        <v>32</v>
      </c>
      <c r="J3108" s="9"/>
      <c r="K3108" s="9"/>
      <c r="L3108" s="9"/>
    </row>
    <row r="3109" spans="2:12" ht="15" x14ac:dyDescent="0.25">
      <c r="B3109" t="s">
        <v>2102</v>
      </c>
      <c r="C3109" t="s">
        <v>2103</v>
      </c>
      <c r="D3109" t="str">
        <f>HYPERLINK("https://rhld.insurance.arkansas.gov/NPILookup?Npi=1760692917","1760692917")</f>
        <v>1760692917</v>
      </c>
      <c r="E3109" t="s">
        <v>3091</v>
      </c>
      <c r="F3109" t="s">
        <v>12</v>
      </c>
      <c r="G3109" s="20">
        <v>1</v>
      </c>
      <c r="H3109" t="s">
        <v>4349</v>
      </c>
      <c r="I3109" t="s">
        <v>4357</v>
      </c>
      <c r="J3109" s="9"/>
      <c r="K3109" s="9"/>
      <c r="L3109" s="9"/>
    </row>
    <row r="3110" spans="2:12" ht="15" x14ac:dyDescent="0.25">
      <c r="B3110" t="s">
        <v>2102</v>
      </c>
      <c r="C3110" t="s">
        <v>2103</v>
      </c>
      <c r="D3110" t="str">
        <f>HYPERLINK("https://rhld.insurance.arkansas.gov/NPILookup?Npi=1760741789","1760741789")</f>
        <v>1760741789</v>
      </c>
      <c r="E3110" t="s">
        <v>3092</v>
      </c>
      <c r="F3110" t="s">
        <v>12</v>
      </c>
      <c r="G3110" s="20">
        <v>1</v>
      </c>
      <c r="H3110" t="s">
        <v>4349</v>
      </c>
      <c r="I3110" t="s">
        <v>32</v>
      </c>
      <c r="J3110" s="9"/>
      <c r="K3110" s="9"/>
      <c r="L3110" s="9"/>
    </row>
    <row r="3111" spans="2:12" ht="15" x14ac:dyDescent="0.25">
      <c r="B3111" t="s">
        <v>2102</v>
      </c>
      <c r="C3111" t="s">
        <v>2103</v>
      </c>
      <c r="D3111" t="str">
        <f>HYPERLINK("https://rhld.insurance.arkansas.gov/NPILookup?Npi=1760780191","1760780191")</f>
        <v>1760780191</v>
      </c>
      <c r="E3111" t="s">
        <v>3093</v>
      </c>
      <c r="F3111" t="s">
        <v>12</v>
      </c>
      <c r="G3111" s="20">
        <v>1</v>
      </c>
      <c r="H3111" t="s">
        <v>4338</v>
      </c>
      <c r="I3111" t="s">
        <v>32</v>
      </c>
      <c r="J3111" s="9"/>
      <c r="K3111" s="9"/>
      <c r="L3111" s="9"/>
    </row>
    <row r="3112" spans="2:12" ht="15" x14ac:dyDescent="0.25">
      <c r="B3112" t="s">
        <v>2102</v>
      </c>
      <c r="C3112" t="s">
        <v>2103</v>
      </c>
      <c r="D3112" t="str">
        <f>HYPERLINK("https://rhld.insurance.arkansas.gov/NPILookup?Npi=1760796791","1760796791")</f>
        <v>1760796791</v>
      </c>
      <c r="E3112" t="s">
        <v>3094</v>
      </c>
      <c r="F3112" t="s">
        <v>12</v>
      </c>
      <c r="G3112" s="20">
        <v>1</v>
      </c>
      <c r="H3112" t="s">
        <v>4349</v>
      </c>
      <c r="I3112" t="s">
        <v>4357</v>
      </c>
      <c r="J3112" s="9"/>
      <c r="K3112" s="9"/>
      <c r="L3112" s="9"/>
    </row>
    <row r="3113" spans="2:12" ht="15" x14ac:dyDescent="0.25">
      <c r="B3113" t="s">
        <v>2102</v>
      </c>
      <c r="C3113" t="s">
        <v>2103</v>
      </c>
      <c r="D3113" t="str">
        <f>HYPERLINK("https://rhld.insurance.arkansas.gov/NPILookup?Npi=1760826614","1760826614")</f>
        <v>1760826614</v>
      </c>
      <c r="E3113" t="s">
        <v>3095</v>
      </c>
      <c r="F3113" t="s">
        <v>12</v>
      </c>
      <c r="G3113" s="20">
        <v>1</v>
      </c>
      <c r="H3113" t="s">
        <v>4349</v>
      </c>
      <c r="I3113" t="s">
        <v>32</v>
      </c>
      <c r="J3113" s="9"/>
      <c r="K3113" s="9"/>
      <c r="L3113" s="9"/>
    </row>
    <row r="3114" spans="2:12" ht="15" x14ac:dyDescent="0.25">
      <c r="B3114" t="s">
        <v>2102</v>
      </c>
      <c r="C3114" t="s">
        <v>2103</v>
      </c>
      <c r="D3114" t="str">
        <f>HYPERLINK("https://rhld.insurance.arkansas.gov/NPILookup?Npi=1760842868","1760842868")</f>
        <v>1760842868</v>
      </c>
      <c r="E3114" t="s">
        <v>3096</v>
      </c>
      <c r="F3114" t="s">
        <v>13</v>
      </c>
      <c r="G3114" s="20">
        <v>2</v>
      </c>
      <c r="H3114" t="s">
        <v>439</v>
      </c>
      <c r="I3114" t="s">
        <v>4357</v>
      </c>
      <c r="J3114" s="9"/>
      <c r="K3114" s="9"/>
      <c r="L3114" s="9"/>
    </row>
    <row r="3115" spans="2:12" ht="15" x14ac:dyDescent="0.25">
      <c r="B3115" t="s">
        <v>2102</v>
      </c>
      <c r="C3115" t="s">
        <v>2103</v>
      </c>
      <c r="D3115" t="str">
        <f>HYPERLINK("https://rhld.insurance.arkansas.gov/NPILookup?Npi=1760844823","1760844823")</f>
        <v>1760844823</v>
      </c>
      <c r="E3115" t="s">
        <v>3097</v>
      </c>
      <c r="F3115" t="s">
        <v>12</v>
      </c>
      <c r="G3115" s="20">
        <v>1</v>
      </c>
      <c r="H3115" t="s">
        <v>4349</v>
      </c>
      <c r="I3115" t="s">
        <v>4357</v>
      </c>
      <c r="J3115" s="9"/>
      <c r="K3115" s="9"/>
      <c r="L3115" s="9"/>
    </row>
    <row r="3116" spans="2:12" ht="15" x14ac:dyDescent="0.25">
      <c r="B3116" t="s">
        <v>2102</v>
      </c>
      <c r="C3116" t="s">
        <v>2103</v>
      </c>
      <c r="D3116" t="str">
        <f>HYPERLINK("https://rhld.insurance.arkansas.gov/NPILookup?Npi=1760845804","1760845804")</f>
        <v>1760845804</v>
      </c>
      <c r="E3116" t="s">
        <v>3098</v>
      </c>
      <c r="F3116" t="s">
        <v>12</v>
      </c>
      <c r="G3116" s="20">
        <v>1</v>
      </c>
      <c r="H3116" t="s">
        <v>4349</v>
      </c>
      <c r="I3116" t="s">
        <v>32</v>
      </c>
      <c r="J3116" s="9"/>
      <c r="K3116" s="9"/>
      <c r="L3116" s="9"/>
    </row>
    <row r="3117" spans="2:12" ht="15" x14ac:dyDescent="0.25">
      <c r="B3117" t="s">
        <v>2102</v>
      </c>
      <c r="C3117" t="s">
        <v>2103</v>
      </c>
      <c r="D3117" t="str">
        <f>HYPERLINK("https://rhld.insurance.arkansas.gov/NPILookup?Npi=1760902605","1760902605")</f>
        <v>1760902605</v>
      </c>
      <c r="E3117" t="s">
        <v>3099</v>
      </c>
      <c r="F3117" t="s">
        <v>12</v>
      </c>
      <c r="G3117" s="20">
        <v>1</v>
      </c>
      <c r="H3117" t="s">
        <v>4338</v>
      </c>
      <c r="I3117" t="s">
        <v>32</v>
      </c>
      <c r="J3117" s="9"/>
      <c r="K3117" s="9"/>
      <c r="L3117" s="9"/>
    </row>
    <row r="3118" spans="2:12" ht="15" x14ac:dyDescent="0.25">
      <c r="B3118" t="s">
        <v>2102</v>
      </c>
      <c r="C3118" t="s">
        <v>2103</v>
      </c>
      <c r="D3118" t="str">
        <f>HYPERLINK("https://rhld.insurance.arkansas.gov/NPILookup?Npi=1760915169","1760915169")</f>
        <v>1760915169</v>
      </c>
      <c r="E3118" t="s">
        <v>3100</v>
      </c>
      <c r="F3118" t="s">
        <v>12</v>
      </c>
      <c r="G3118" s="20">
        <v>1</v>
      </c>
      <c r="H3118" t="s">
        <v>4349</v>
      </c>
      <c r="I3118" t="s">
        <v>32</v>
      </c>
      <c r="J3118" s="9"/>
      <c r="K3118" s="9"/>
      <c r="L3118" s="9"/>
    </row>
    <row r="3119" spans="2:12" ht="15" x14ac:dyDescent="0.25">
      <c r="B3119" t="s">
        <v>2102</v>
      </c>
      <c r="C3119" t="s">
        <v>2103</v>
      </c>
      <c r="D3119" t="str">
        <f>HYPERLINK("https://rhld.insurance.arkansas.gov/NPILookup?Npi=1760964829","1760964829")</f>
        <v>1760964829</v>
      </c>
      <c r="E3119" t="s">
        <v>3101</v>
      </c>
      <c r="F3119" t="s">
        <v>13</v>
      </c>
      <c r="G3119" s="20">
        <v>2</v>
      </c>
      <c r="H3119" t="s">
        <v>439</v>
      </c>
      <c r="I3119" t="s">
        <v>4357</v>
      </c>
      <c r="J3119" s="9"/>
      <c r="K3119" s="9"/>
      <c r="L3119" s="9"/>
    </row>
    <row r="3120" spans="2:12" ht="15" x14ac:dyDescent="0.25">
      <c r="B3120" t="s">
        <v>2102</v>
      </c>
      <c r="C3120" t="s">
        <v>2103</v>
      </c>
      <c r="D3120" t="str">
        <f>HYPERLINK("https://rhld.insurance.arkansas.gov/NPILookup?Npi=1760989883","1760989883")</f>
        <v>1760989883</v>
      </c>
      <c r="E3120" t="s">
        <v>3102</v>
      </c>
      <c r="F3120" t="s">
        <v>12</v>
      </c>
      <c r="G3120" s="20">
        <v>1</v>
      </c>
      <c r="H3120" t="s">
        <v>4349</v>
      </c>
      <c r="I3120" t="s">
        <v>32</v>
      </c>
      <c r="J3120" s="9"/>
      <c r="K3120" s="9"/>
      <c r="L3120" s="9"/>
    </row>
    <row r="3121" spans="2:12" ht="15" x14ac:dyDescent="0.25">
      <c r="B3121" t="s">
        <v>2102</v>
      </c>
      <c r="C3121" t="s">
        <v>2103</v>
      </c>
      <c r="D3121" t="str">
        <f>HYPERLINK("https://rhld.insurance.arkansas.gov/NPILookup?Npi=1770136202","1770136202")</f>
        <v>1770136202</v>
      </c>
      <c r="E3121" t="s">
        <v>3106</v>
      </c>
      <c r="F3121" t="s">
        <v>13</v>
      </c>
      <c r="G3121" s="20">
        <v>1</v>
      </c>
      <c r="H3121" t="s">
        <v>4357</v>
      </c>
      <c r="I3121" t="s">
        <v>4357</v>
      </c>
      <c r="J3121" s="9"/>
      <c r="K3121" s="9"/>
      <c r="L3121" s="9"/>
    </row>
    <row r="3122" spans="2:12" ht="15" x14ac:dyDescent="0.25">
      <c r="B3122" t="s">
        <v>2102</v>
      </c>
      <c r="C3122" t="s">
        <v>2103</v>
      </c>
      <c r="D3122" t="str">
        <f>HYPERLINK("https://rhld.insurance.arkansas.gov/NPILookup?Npi=1770153538","1770153538")</f>
        <v>1770153538</v>
      </c>
      <c r="E3122" t="s">
        <v>3107</v>
      </c>
      <c r="F3122" t="s">
        <v>13</v>
      </c>
      <c r="G3122" s="20">
        <v>1</v>
      </c>
      <c r="H3122" t="s">
        <v>4357</v>
      </c>
      <c r="I3122" t="s">
        <v>4357</v>
      </c>
      <c r="J3122" s="9"/>
      <c r="K3122" s="9"/>
      <c r="L3122" s="9"/>
    </row>
    <row r="3123" spans="2:12" ht="15" x14ac:dyDescent="0.25">
      <c r="B3123" t="s">
        <v>2102</v>
      </c>
      <c r="C3123" t="s">
        <v>2103</v>
      </c>
      <c r="D3123" t="str">
        <f>HYPERLINK("https://rhld.insurance.arkansas.gov/NPILookup?Npi=1770165706","1770165706")</f>
        <v>1770165706</v>
      </c>
      <c r="E3123" t="s">
        <v>3108</v>
      </c>
      <c r="F3123" t="s">
        <v>13</v>
      </c>
      <c r="G3123" s="20">
        <v>1</v>
      </c>
      <c r="H3123" t="s">
        <v>4357</v>
      </c>
      <c r="I3123" t="s">
        <v>4357</v>
      </c>
      <c r="J3123" s="9"/>
      <c r="K3123" s="9"/>
      <c r="L3123" s="9"/>
    </row>
    <row r="3124" spans="2:12" ht="15" x14ac:dyDescent="0.25">
      <c r="B3124" t="s">
        <v>2102</v>
      </c>
      <c r="C3124" t="s">
        <v>2103</v>
      </c>
      <c r="D3124" t="str">
        <f>HYPERLINK("https://rhld.insurance.arkansas.gov/NPILookup?Npi=1770185068","1770185068")</f>
        <v>1770185068</v>
      </c>
      <c r="E3124" t="s">
        <v>3109</v>
      </c>
      <c r="F3124" t="s">
        <v>13</v>
      </c>
      <c r="G3124" s="20">
        <v>1</v>
      </c>
      <c r="H3124" t="s">
        <v>4357</v>
      </c>
      <c r="I3124" t="s">
        <v>4357</v>
      </c>
      <c r="J3124" s="9"/>
      <c r="K3124" s="9"/>
      <c r="L3124" s="9"/>
    </row>
    <row r="3125" spans="2:12" ht="15" x14ac:dyDescent="0.25">
      <c r="B3125" t="s">
        <v>2102</v>
      </c>
      <c r="C3125" t="s">
        <v>2103</v>
      </c>
      <c r="D3125" t="str">
        <f>HYPERLINK("https://rhld.insurance.arkansas.gov/NPILookup?Npi=1770216202","1770216202")</f>
        <v>1770216202</v>
      </c>
      <c r="E3125" t="s">
        <v>3110</v>
      </c>
      <c r="F3125" t="s">
        <v>12</v>
      </c>
      <c r="G3125" s="20">
        <v>1</v>
      </c>
      <c r="H3125" t="s">
        <v>4338</v>
      </c>
      <c r="I3125" t="s">
        <v>32</v>
      </c>
      <c r="J3125" s="9"/>
      <c r="K3125" s="9"/>
      <c r="L3125" s="9"/>
    </row>
    <row r="3126" spans="2:12" ht="15" x14ac:dyDescent="0.25">
      <c r="B3126" t="s">
        <v>2102</v>
      </c>
      <c r="C3126" t="s">
        <v>2103</v>
      </c>
      <c r="D3126" t="str">
        <f>HYPERLINK("https://rhld.insurance.arkansas.gov/NPILookup?Npi=1770228330","1770228330")</f>
        <v>1770228330</v>
      </c>
      <c r="E3126" t="s">
        <v>3111</v>
      </c>
      <c r="F3126" t="s">
        <v>13</v>
      </c>
      <c r="G3126" s="20">
        <v>1</v>
      </c>
      <c r="H3126" t="s">
        <v>4357</v>
      </c>
      <c r="I3126" t="s">
        <v>4357</v>
      </c>
      <c r="J3126" s="9"/>
      <c r="K3126" s="9"/>
      <c r="L3126" s="9"/>
    </row>
    <row r="3127" spans="2:12" ht="15" x14ac:dyDescent="0.25">
      <c r="B3127" t="s">
        <v>2102</v>
      </c>
      <c r="C3127" t="s">
        <v>2103</v>
      </c>
      <c r="D3127" t="str">
        <f>HYPERLINK("https://rhld.insurance.arkansas.gov/NPILookup?Npi=1770537367","1770537367")</f>
        <v>1770537367</v>
      </c>
      <c r="E3127" t="s">
        <v>3112</v>
      </c>
      <c r="F3127" t="s">
        <v>12</v>
      </c>
      <c r="G3127" s="20">
        <v>1</v>
      </c>
      <c r="H3127" t="s">
        <v>4349</v>
      </c>
      <c r="I3127" t="s">
        <v>4357</v>
      </c>
      <c r="J3127" s="9"/>
      <c r="K3127" s="9"/>
      <c r="L3127" s="9"/>
    </row>
    <row r="3128" spans="2:12" ht="15" x14ac:dyDescent="0.25">
      <c r="B3128" t="s">
        <v>2102</v>
      </c>
      <c r="C3128" t="s">
        <v>2103</v>
      </c>
      <c r="D3128" t="str">
        <f>HYPERLINK("https://rhld.insurance.arkansas.gov/NPILookup?Npi=1770581662","1770581662")</f>
        <v>1770581662</v>
      </c>
      <c r="E3128" t="s">
        <v>4602</v>
      </c>
      <c r="F3128" t="s">
        <v>12</v>
      </c>
      <c r="G3128" s="20">
        <v>1</v>
      </c>
      <c r="H3128" t="s">
        <v>4349</v>
      </c>
      <c r="I3128" t="s">
        <v>32</v>
      </c>
      <c r="J3128" s="9"/>
      <c r="K3128" s="9"/>
      <c r="L3128" s="9"/>
    </row>
    <row r="3129" spans="2:12" ht="15" x14ac:dyDescent="0.25">
      <c r="B3129" t="s">
        <v>2102</v>
      </c>
      <c r="C3129" t="s">
        <v>2103</v>
      </c>
      <c r="D3129" t="str">
        <f>HYPERLINK("https://rhld.insurance.arkansas.gov/NPILookup?Npi=1770593436","1770593436")</f>
        <v>1770593436</v>
      </c>
      <c r="E3129" t="s">
        <v>827</v>
      </c>
      <c r="F3129" t="s">
        <v>12</v>
      </c>
      <c r="G3129" s="20">
        <v>1</v>
      </c>
      <c r="H3129" t="s">
        <v>4349</v>
      </c>
      <c r="I3129" t="s">
        <v>32</v>
      </c>
      <c r="J3129" s="9"/>
      <c r="K3129" s="9"/>
      <c r="L3129" s="9"/>
    </row>
    <row r="3130" spans="2:12" ht="15" x14ac:dyDescent="0.25">
      <c r="B3130" t="s">
        <v>2102</v>
      </c>
      <c r="C3130" t="s">
        <v>2103</v>
      </c>
      <c r="D3130" t="str">
        <f>HYPERLINK("https://rhld.insurance.arkansas.gov/NPILookup?Npi=1770635047","1770635047")</f>
        <v>1770635047</v>
      </c>
      <c r="E3130" t="s">
        <v>4603</v>
      </c>
      <c r="F3130" t="s">
        <v>12</v>
      </c>
      <c r="G3130" s="20">
        <v>1</v>
      </c>
      <c r="H3130" t="s">
        <v>4349</v>
      </c>
      <c r="I3130" t="s">
        <v>32</v>
      </c>
      <c r="J3130" s="9"/>
      <c r="K3130" s="9"/>
      <c r="L3130" s="9"/>
    </row>
    <row r="3131" spans="2:12" ht="15" x14ac:dyDescent="0.25">
      <c r="B3131" t="s">
        <v>2102</v>
      </c>
      <c r="C3131" t="s">
        <v>2103</v>
      </c>
      <c r="D3131" t="str">
        <f>HYPERLINK("https://rhld.insurance.arkansas.gov/NPILookup?Npi=1770808396","1770808396")</f>
        <v>1770808396</v>
      </c>
      <c r="E3131" t="s">
        <v>3113</v>
      </c>
      <c r="F3131" t="s">
        <v>12</v>
      </c>
      <c r="G3131" s="20">
        <v>1</v>
      </c>
      <c r="H3131" t="s">
        <v>4349</v>
      </c>
      <c r="I3131" t="s">
        <v>32</v>
      </c>
      <c r="J3131" s="9"/>
      <c r="K3131" s="9"/>
      <c r="L3131" s="9"/>
    </row>
    <row r="3132" spans="2:12" ht="15" x14ac:dyDescent="0.25">
      <c r="B3132" t="s">
        <v>2102</v>
      </c>
      <c r="C3132" t="s">
        <v>2103</v>
      </c>
      <c r="D3132" t="str">
        <f>HYPERLINK("https://rhld.insurance.arkansas.gov/NPILookup?Npi=1770891970","1770891970")</f>
        <v>1770891970</v>
      </c>
      <c r="E3132" t="s">
        <v>4604</v>
      </c>
      <c r="F3132" t="s">
        <v>12</v>
      </c>
      <c r="G3132" s="20">
        <v>1</v>
      </c>
      <c r="H3132" t="s">
        <v>4349</v>
      </c>
      <c r="I3132" t="s">
        <v>32</v>
      </c>
      <c r="J3132" s="9"/>
      <c r="K3132" s="9"/>
      <c r="L3132" s="9"/>
    </row>
    <row r="3133" spans="2:12" ht="15" x14ac:dyDescent="0.25">
      <c r="B3133" t="s">
        <v>2102</v>
      </c>
      <c r="C3133" t="s">
        <v>2103</v>
      </c>
      <c r="D3133" t="str">
        <f>HYPERLINK("https://rhld.insurance.arkansas.gov/NPILookup?Npi=1770903882","1770903882")</f>
        <v>1770903882</v>
      </c>
      <c r="E3133" t="s">
        <v>829</v>
      </c>
      <c r="F3133" t="s">
        <v>12</v>
      </c>
      <c r="G3133" s="20">
        <v>1</v>
      </c>
      <c r="H3133" t="s">
        <v>4349</v>
      </c>
      <c r="I3133" t="s">
        <v>4357</v>
      </c>
      <c r="J3133" s="9"/>
      <c r="K3133" s="9"/>
      <c r="L3133" s="9"/>
    </row>
    <row r="3134" spans="2:12" ht="15" x14ac:dyDescent="0.25">
      <c r="B3134" t="s">
        <v>2102</v>
      </c>
      <c r="C3134" t="s">
        <v>2103</v>
      </c>
      <c r="D3134" t="str">
        <f>HYPERLINK("https://rhld.insurance.arkansas.gov/NPILookup?Npi=1770941171","1770941171")</f>
        <v>1770941171</v>
      </c>
      <c r="E3134" t="s">
        <v>3114</v>
      </c>
      <c r="F3134" t="s">
        <v>13</v>
      </c>
      <c r="G3134" s="20">
        <v>2</v>
      </c>
      <c r="H3134" t="s">
        <v>439</v>
      </c>
      <c r="I3134" t="s">
        <v>4357</v>
      </c>
      <c r="J3134" s="9"/>
      <c r="K3134" s="9"/>
      <c r="L3134" s="9"/>
    </row>
    <row r="3135" spans="2:12" ht="15" x14ac:dyDescent="0.25">
      <c r="B3135" t="s">
        <v>2102</v>
      </c>
      <c r="C3135" t="s">
        <v>2103</v>
      </c>
      <c r="D3135" t="str">
        <f>HYPERLINK("https://rhld.insurance.arkansas.gov/NPILookup?Npi=1770978199","1770978199")</f>
        <v>1770978199</v>
      </c>
      <c r="E3135" t="s">
        <v>3115</v>
      </c>
      <c r="F3135" t="s">
        <v>12</v>
      </c>
      <c r="G3135" s="20">
        <v>1</v>
      </c>
      <c r="H3135" t="s">
        <v>4338</v>
      </c>
      <c r="I3135" t="s">
        <v>32</v>
      </c>
      <c r="J3135" s="9"/>
      <c r="K3135" s="9"/>
      <c r="L3135" s="9"/>
    </row>
    <row r="3136" spans="2:12" ht="15" x14ac:dyDescent="0.25">
      <c r="B3136" t="s">
        <v>2102</v>
      </c>
      <c r="C3136" t="s">
        <v>2103</v>
      </c>
      <c r="D3136" t="str">
        <f>HYPERLINK("https://rhld.insurance.arkansas.gov/NPILookup?Npi=1780099598","1780099598")</f>
        <v>1780099598</v>
      </c>
      <c r="E3136" t="s">
        <v>2093</v>
      </c>
      <c r="F3136" t="s">
        <v>13</v>
      </c>
      <c r="G3136" s="20">
        <v>1</v>
      </c>
      <c r="H3136" t="s">
        <v>4357</v>
      </c>
      <c r="I3136" t="s">
        <v>4357</v>
      </c>
      <c r="J3136" s="9"/>
      <c r="K3136" s="9"/>
      <c r="L3136" s="9"/>
    </row>
    <row r="3137" spans="2:12" ht="15" x14ac:dyDescent="0.25">
      <c r="B3137" t="s">
        <v>2102</v>
      </c>
      <c r="C3137" t="s">
        <v>2103</v>
      </c>
      <c r="D3137" t="str">
        <f>HYPERLINK("https://rhld.insurance.arkansas.gov/NPILookup?Npi=1780107219","1780107219")</f>
        <v>1780107219</v>
      </c>
      <c r="E3137" t="s">
        <v>3117</v>
      </c>
      <c r="F3137" t="s">
        <v>13</v>
      </c>
      <c r="G3137" s="20">
        <v>1</v>
      </c>
      <c r="H3137" t="s">
        <v>4357</v>
      </c>
      <c r="I3137" t="s">
        <v>4357</v>
      </c>
      <c r="J3137" s="9"/>
      <c r="K3137" s="9"/>
      <c r="L3137" s="9"/>
    </row>
    <row r="3138" spans="2:12" ht="15" x14ac:dyDescent="0.25">
      <c r="B3138" t="s">
        <v>2102</v>
      </c>
      <c r="C3138" t="s">
        <v>2103</v>
      </c>
      <c r="D3138" t="str">
        <f>HYPERLINK("https://rhld.insurance.arkansas.gov/NPILookup?Npi=1780215640","1780215640")</f>
        <v>1780215640</v>
      </c>
      <c r="E3138" t="s">
        <v>2493</v>
      </c>
      <c r="F3138" t="s">
        <v>12</v>
      </c>
      <c r="G3138" s="20">
        <v>1</v>
      </c>
      <c r="H3138" t="s">
        <v>4338</v>
      </c>
      <c r="I3138" t="s">
        <v>32</v>
      </c>
      <c r="J3138" s="9"/>
      <c r="K3138" s="9"/>
      <c r="L3138" s="9"/>
    </row>
    <row r="3139" spans="2:12" ht="15" x14ac:dyDescent="0.25">
      <c r="B3139" t="s">
        <v>2102</v>
      </c>
      <c r="C3139" t="s">
        <v>2103</v>
      </c>
      <c r="D3139" t="str">
        <f>HYPERLINK("https://rhld.insurance.arkansas.gov/NPILookup?Npi=1780348474","1780348474")</f>
        <v>1780348474</v>
      </c>
      <c r="E3139" t="s">
        <v>3119</v>
      </c>
      <c r="F3139" t="s">
        <v>12</v>
      </c>
      <c r="G3139" s="20">
        <v>1</v>
      </c>
      <c r="H3139" t="s">
        <v>4338</v>
      </c>
      <c r="I3139" t="s">
        <v>32</v>
      </c>
      <c r="J3139" s="9"/>
      <c r="K3139" s="9"/>
      <c r="L3139" s="9"/>
    </row>
    <row r="3140" spans="2:12" ht="15" x14ac:dyDescent="0.25">
      <c r="B3140" t="s">
        <v>2102</v>
      </c>
      <c r="C3140" t="s">
        <v>2103</v>
      </c>
      <c r="D3140" t="str">
        <f>HYPERLINK("https://rhld.insurance.arkansas.gov/NPILookup?Npi=1780486530","1780486530")</f>
        <v>1780486530</v>
      </c>
      <c r="E3140" t="s">
        <v>3120</v>
      </c>
      <c r="F3140" t="s">
        <v>13</v>
      </c>
      <c r="G3140" s="20">
        <v>1</v>
      </c>
      <c r="H3140" t="s">
        <v>4357</v>
      </c>
      <c r="I3140" t="s">
        <v>4357</v>
      </c>
      <c r="J3140" s="9"/>
      <c r="K3140" s="9"/>
      <c r="L3140" s="9"/>
    </row>
    <row r="3141" spans="2:12" ht="15" x14ac:dyDescent="0.25">
      <c r="B3141" t="s">
        <v>2102</v>
      </c>
      <c r="C3141" t="s">
        <v>2103</v>
      </c>
      <c r="D3141" t="str">
        <f>HYPERLINK("https://rhld.insurance.arkansas.gov/NPILookup?Npi=1780633966","1780633966")</f>
        <v>1780633966</v>
      </c>
      <c r="E3141" t="s">
        <v>3122</v>
      </c>
      <c r="F3141" t="s">
        <v>12</v>
      </c>
      <c r="G3141" s="20">
        <v>1</v>
      </c>
      <c r="H3141" t="s">
        <v>141</v>
      </c>
      <c r="I3141" t="s">
        <v>4357</v>
      </c>
      <c r="J3141" s="9"/>
      <c r="K3141" s="9"/>
      <c r="L3141" s="9"/>
    </row>
    <row r="3142" spans="2:12" ht="15" x14ac:dyDescent="0.25">
      <c r="B3142" t="s">
        <v>2102</v>
      </c>
      <c r="C3142" t="s">
        <v>2103</v>
      </c>
      <c r="D3142" t="str">
        <f>HYPERLINK("https://rhld.insurance.arkansas.gov/NPILookup?Npi=1780652073","1780652073")</f>
        <v>1780652073</v>
      </c>
      <c r="E3142" t="s">
        <v>3123</v>
      </c>
      <c r="F3142" t="s">
        <v>12</v>
      </c>
      <c r="G3142" s="20">
        <v>1</v>
      </c>
      <c r="H3142" t="s">
        <v>4349</v>
      </c>
      <c r="I3142" t="s">
        <v>4357</v>
      </c>
      <c r="J3142" s="9"/>
      <c r="K3142" s="9"/>
      <c r="L3142" s="9"/>
    </row>
    <row r="3143" spans="2:12" ht="15" x14ac:dyDescent="0.25">
      <c r="B3143" t="s">
        <v>2102</v>
      </c>
      <c r="C3143" t="s">
        <v>2103</v>
      </c>
      <c r="D3143" t="str">
        <f>HYPERLINK("https://rhld.insurance.arkansas.gov/NPILookup?Npi=1780675637","1780675637")</f>
        <v>1780675637</v>
      </c>
      <c r="E3143" t="s">
        <v>4605</v>
      </c>
      <c r="F3143" t="s">
        <v>12</v>
      </c>
      <c r="G3143" s="20">
        <v>1</v>
      </c>
      <c r="H3143" t="s">
        <v>4349</v>
      </c>
      <c r="I3143" t="s">
        <v>32</v>
      </c>
      <c r="J3143" s="9"/>
      <c r="K3143" s="9"/>
      <c r="L3143" s="9"/>
    </row>
    <row r="3144" spans="2:12" ht="15" x14ac:dyDescent="0.25">
      <c r="B3144" t="s">
        <v>2102</v>
      </c>
      <c r="C3144" t="s">
        <v>2103</v>
      </c>
      <c r="D3144" t="str">
        <f>HYPERLINK("https://rhld.insurance.arkansas.gov/NPILookup?Npi=1780691816","1780691816")</f>
        <v>1780691816</v>
      </c>
      <c r="E3144" t="s">
        <v>3124</v>
      </c>
      <c r="F3144" t="s">
        <v>13</v>
      </c>
      <c r="G3144" s="20">
        <v>1</v>
      </c>
      <c r="H3144" t="s">
        <v>87</v>
      </c>
      <c r="I3144" t="s">
        <v>4357</v>
      </c>
      <c r="J3144" s="9"/>
      <c r="K3144" s="9"/>
      <c r="L3144" s="9"/>
    </row>
    <row r="3145" spans="2:12" ht="15" x14ac:dyDescent="0.25">
      <c r="B3145" t="s">
        <v>2102</v>
      </c>
      <c r="C3145" t="s">
        <v>2103</v>
      </c>
      <c r="D3145" t="str">
        <f>HYPERLINK("https://rhld.insurance.arkansas.gov/NPILookup?Npi=1780691980","1780691980")</f>
        <v>1780691980</v>
      </c>
      <c r="E3145" t="s">
        <v>3125</v>
      </c>
      <c r="F3145" t="s">
        <v>12</v>
      </c>
      <c r="G3145" s="20">
        <v>1</v>
      </c>
      <c r="H3145" t="s">
        <v>4349</v>
      </c>
      <c r="I3145" t="s">
        <v>4357</v>
      </c>
      <c r="J3145" s="9"/>
      <c r="K3145" s="9"/>
      <c r="L3145" s="9"/>
    </row>
    <row r="3146" spans="2:12" ht="15" x14ac:dyDescent="0.25">
      <c r="B3146" t="s">
        <v>2102</v>
      </c>
      <c r="C3146" t="s">
        <v>2103</v>
      </c>
      <c r="D3146" t="str">
        <f>HYPERLINK("https://rhld.insurance.arkansas.gov/NPILookup?Npi=1780776765","1780776765")</f>
        <v>1780776765</v>
      </c>
      <c r="E3146" t="s">
        <v>3126</v>
      </c>
      <c r="F3146" t="s">
        <v>12</v>
      </c>
      <c r="G3146" s="20">
        <v>1</v>
      </c>
      <c r="H3146" t="s">
        <v>4349</v>
      </c>
      <c r="I3146" t="s">
        <v>4357</v>
      </c>
      <c r="J3146" s="9"/>
      <c r="K3146" s="9"/>
      <c r="L3146" s="9"/>
    </row>
    <row r="3147" spans="2:12" ht="15" x14ac:dyDescent="0.25">
      <c r="B3147" t="s">
        <v>2102</v>
      </c>
      <c r="C3147" t="s">
        <v>2103</v>
      </c>
      <c r="D3147" t="str">
        <f>HYPERLINK("https://rhld.insurance.arkansas.gov/NPILookup?Npi=1780897785","1780897785")</f>
        <v>1780897785</v>
      </c>
      <c r="E3147" t="s">
        <v>3128</v>
      </c>
      <c r="F3147" t="s">
        <v>12</v>
      </c>
      <c r="G3147" s="20">
        <v>1</v>
      </c>
      <c r="H3147" t="s">
        <v>4338</v>
      </c>
      <c r="I3147" t="s">
        <v>32</v>
      </c>
      <c r="J3147" s="9"/>
      <c r="K3147" s="9"/>
      <c r="L3147" s="9"/>
    </row>
    <row r="3148" spans="2:12" ht="15" x14ac:dyDescent="0.25">
      <c r="B3148" t="s">
        <v>2102</v>
      </c>
      <c r="C3148" t="s">
        <v>2103</v>
      </c>
      <c r="D3148" t="str">
        <f>HYPERLINK("https://rhld.insurance.arkansas.gov/NPILookup?Npi=1780927244","1780927244")</f>
        <v>1780927244</v>
      </c>
      <c r="E3148" t="s">
        <v>3130</v>
      </c>
      <c r="F3148" t="s">
        <v>12</v>
      </c>
      <c r="G3148" s="20">
        <v>1</v>
      </c>
      <c r="H3148" t="s">
        <v>4349</v>
      </c>
      <c r="I3148" t="s">
        <v>4357</v>
      </c>
      <c r="J3148" s="9"/>
      <c r="K3148" s="9"/>
      <c r="L3148" s="9"/>
    </row>
    <row r="3149" spans="2:12" ht="15" x14ac:dyDescent="0.25">
      <c r="B3149" t="s">
        <v>2102</v>
      </c>
      <c r="C3149" t="s">
        <v>2103</v>
      </c>
      <c r="D3149" t="str">
        <f>HYPERLINK("https://rhld.insurance.arkansas.gov/NPILookup?Npi=1780971192","1780971192")</f>
        <v>1780971192</v>
      </c>
      <c r="E3149" t="s">
        <v>1409</v>
      </c>
      <c r="F3149" t="s">
        <v>12</v>
      </c>
      <c r="G3149" s="20">
        <v>1</v>
      </c>
      <c r="H3149" t="s">
        <v>4349</v>
      </c>
      <c r="I3149" t="s">
        <v>32</v>
      </c>
      <c r="J3149" s="9"/>
      <c r="K3149" s="9"/>
      <c r="L3149" s="9"/>
    </row>
    <row r="3150" spans="2:12" ht="15" x14ac:dyDescent="0.25">
      <c r="B3150" t="s">
        <v>2102</v>
      </c>
      <c r="C3150" t="s">
        <v>2103</v>
      </c>
      <c r="D3150" t="str">
        <f>HYPERLINK("https://rhld.insurance.arkansas.gov/NPILookup?Npi=1780981670","1780981670")</f>
        <v>1780981670</v>
      </c>
      <c r="E3150" t="s">
        <v>4606</v>
      </c>
      <c r="F3150" t="s">
        <v>12</v>
      </c>
      <c r="G3150" s="20">
        <v>1</v>
      </c>
      <c r="H3150" t="s">
        <v>4349</v>
      </c>
      <c r="I3150" t="s">
        <v>4357</v>
      </c>
      <c r="J3150" s="9"/>
      <c r="K3150" s="9"/>
      <c r="L3150" s="9"/>
    </row>
    <row r="3151" spans="2:12" ht="15" x14ac:dyDescent="0.25">
      <c r="B3151" t="s">
        <v>2102</v>
      </c>
      <c r="C3151" t="s">
        <v>2103</v>
      </c>
      <c r="D3151" t="str">
        <f>HYPERLINK("https://rhld.insurance.arkansas.gov/NPILookup?Npi=1790039162","1790039162")</f>
        <v>1790039162</v>
      </c>
      <c r="E3151" t="s">
        <v>3131</v>
      </c>
      <c r="F3151" t="s">
        <v>12</v>
      </c>
      <c r="G3151" s="20">
        <v>1</v>
      </c>
      <c r="H3151" t="s">
        <v>4338</v>
      </c>
      <c r="I3151" t="s">
        <v>32</v>
      </c>
      <c r="J3151" s="9"/>
      <c r="K3151" s="9"/>
      <c r="L3151" s="9"/>
    </row>
    <row r="3152" spans="2:12" ht="15" x14ac:dyDescent="0.25">
      <c r="B3152" t="s">
        <v>2102</v>
      </c>
      <c r="C3152" t="s">
        <v>2103</v>
      </c>
      <c r="D3152" t="str">
        <f>HYPERLINK("https://rhld.insurance.arkansas.gov/NPILookup?Npi=1790065068","1790065068")</f>
        <v>1790065068</v>
      </c>
      <c r="E3152" t="s">
        <v>3132</v>
      </c>
      <c r="F3152" t="s">
        <v>12</v>
      </c>
      <c r="G3152" s="20">
        <v>1</v>
      </c>
      <c r="H3152" t="s">
        <v>4338</v>
      </c>
      <c r="I3152" t="s">
        <v>32</v>
      </c>
      <c r="J3152" s="9"/>
      <c r="K3152" s="9"/>
      <c r="L3152" s="9"/>
    </row>
    <row r="3153" spans="2:12" ht="15" x14ac:dyDescent="0.25">
      <c r="B3153" t="s">
        <v>2102</v>
      </c>
      <c r="C3153" t="s">
        <v>2103</v>
      </c>
      <c r="D3153" t="str">
        <f>HYPERLINK("https://rhld.insurance.arkansas.gov/NPILookup?Npi=1790191039","1790191039")</f>
        <v>1790191039</v>
      </c>
      <c r="E3153" t="s">
        <v>3133</v>
      </c>
      <c r="F3153" t="s">
        <v>12</v>
      </c>
      <c r="G3153" s="20">
        <v>1</v>
      </c>
      <c r="H3153" t="s">
        <v>4349</v>
      </c>
      <c r="I3153" t="s">
        <v>32</v>
      </c>
      <c r="J3153" s="9"/>
      <c r="K3153" s="9"/>
      <c r="L3153" s="9"/>
    </row>
    <row r="3154" spans="2:12" ht="15" x14ac:dyDescent="0.25">
      <c r="B3154" t="s">
        <v>2102</v>
      </c>
      <c r="C3154" t="s">
        <v>2103</v>
      </c>
      <c r="D3154" t="str">
        <f>HYPERLINK("https://rhld.insurance.arkansas.gov/NPILookup?Npi=1790311314","1790311314")</f>
        <v>1790311314</v>
      </c>
      <c r="E3154" t="s">
        <v>3134</v>
      </c>
      <c r="F3154" t="s">
        <v>12</v>
      </c>
      <c r="G3154" s="20">
        <v>1</v>
      </c>
      <c r="H3154" t="s">
        <v>4338</v>
      </c>
      <c r="I3154" t="s">
        <v>32</v>
      </c>
      <c r="J3154" s="9"/>
      <c r="K3154" s="9"/>
      <c r="L3154" s="9"/>
    </row>
    <row r="3155" spans="2:12" ht="15" x14ac:dyDescent="0.25">
      <c r="B3155" t="s">
        <v>2102</v>
      </c>
      <c r="C3155" t="s">
        <v>2103</v>
      </c>
      <c r="D3155" t="str">
        <f>HYPERLINK("https://rhld.insurance.arkansas.gov/NPILookup?Npi=1790408482","1790408482")</f>
        <v>1790408482</v>
      </c>
      <c r="E3155" t="s">
        <v>3135</v>
      </c>
      <c r="F3155" t="s">
        <v>12</v>
      </c>
      <c r="G3155" s="20">
        <v>1</v>
      </c>
      <c r="H3155" t="s">
        <v>4338</v>
      </c>
      <c r="I3155" t="s">
        <v>32</v>
      </c>
      <c r="J3155" s="9"/>
      <c r="K3155" s="9"/>
      <c r="L3155" s="9"/>
    </row>
    <row r="3156" spans="2:12" ht="15" x14ac:dyDescent="0.25">
      <c r="B3156" t="s">
        <v>2102</v>
      </c>
      <c r="C3156" t="s">
        <v>2103</v>
      </c>
      <c r="D3156" t="str">
        <f>HYPERLINK("https://rhld.insurance.arkansas.gov/NPILookup?Npi=1790506780","1790506780")</f>
        <v>1790506780</v>
      </c>
      <c r="E3156" t="s">
        <v>2094</v>
      </c>
      <c r="F3156" t="s">
        <v>13</v>
      </c>
      <c r="G3156" s="20">
        <v>1</v>
      </c>
      <c r="H3156" t="s">
        <v>4357</v>
      </c>
      <c r="I3156" t="s">
        <v>4357</v>
      </c>
      <c r="J3156" s="9"/>
      <c r="K3156" s="9"/>
      <c r="L3156" s="9"/>
    </row>
    <row r="3157" spans="2:12" ht="15" x14ac:dyDescent="0.25">
      <c r="B3157" t="s">
        <v>2102</v>
      </c>
      <c r="C3157" t="s">
        <v>2103</v>
      </c>
      <c r="D3157" t="str">
        <f>HYPERLINK("https://rhld.insurance.arkansas.gov/NPILookup?Npi=1790723534","1790723534")</f>
        <v>1790723534</v>
      </c>
      <c r="E3157" t="s">
        <v>3136</v>
      </c>
      <c r="F3157" t="s">
        <v>12</v>
      </c>
      <c r="G3157" s="20">
        <v>1</v>
      </c>
      <c r="H3157" t="s">
        <v>139</v>
      </c>
      <c r="I3157" t="s">
        <v>32</v>
      </c>
      <c r="J3157" s="9"/>
      <c r="K3157" s="9"/>
      <c r="L3157" s="9"/>
    </row>
    <row r="3158" spans="2:12" ht="15" x14ac:dyDescent="0.25">
      <c r="B3158" t="s">
        <v>2102</v>
      </c>
      <c r="C3158" t="s">
        <v>2103</v>
      </c>
      <c r="D3158" t="str">
        <f>HYPERLINK("https://rhld.insurance.arkansas.gov/NPILookup?Npi=1790736445","1790736445")</f>
        <v>1790736445</v>
      </c>
      <c r="E3158" t="s">
        <v>3137</v>
      </c>
      <c r="F3158" t="s">
        <v>12</v>
      </c>
      <c r="G3158" s="20">
        <v>1</v>
      </c>
      <c r="H3158" t="s">
        <v>4349</v>
      </c>
      <c r="I3158" t="s">
        <v>4357</v>
      </c>
      <c r="J3158" s="9"/>
      <c r="K3158" s="9"/>
      <c r="L3158" s="9"/>
    </row>
    <row r="3159" spans="2:12" ht="15" x14ac:dyDescent="0.25">
      <c r="B3159" t="s">
        <v>2102</v>
      </c>
      <c r="C3159" t="s">
        <v>2103</v>
      </c>
      <c r="D3159" t="str">
        <f>HYPERLINK("https://rhld.insurance.arkansas.gov/NPILookup?Npi=1790778991","1790778991")</f>
        <v>1790778991</v>
      </c>
      <c r="E3159" t="s">
        <v>3138</v>
      </c>
      <c r="F3159" t="s">
        <v>12</v>
      </c>
      <c r="G3159" s="20">
        <v>1</v>
      </c>
      <c r="H3159" t="s">
        <v>4349</v>
      </c>
      <c r="I3159" t="s">
        <v>4357</v>
      </c>
      <c r="J3159" s="9"/>
      <c r="K3159" s="9"/>
      <c r="L3159" s="9"/>
    </row>
    <row r="3160" spans="2:12" ht="15" x14ac:dyDescent="0.25">
      <c r="B3160" t="s">
        <v>2102</v>
      </c>
      <c r="C3160" t="s">
        <v>2103</v>
      </c>
      <c r="D3160" t="str">
        <f>HYPERLINK("https://rhld.insurance.arkansas.gov/NPILookup?Npi=1790886109","1790886109")</f>
        <v>1790886109</v>
      </c>
      <c r="E3160" t="s">
        <v>3139</v>
      </c>
      <c r="F3160" t="s">
        <v>12</v>
      </c>
      <c r="G3160" s="20">
        <v>1</v>
      </c>
      <c r="H3160" t="s">
        <v>4349</v>
      </c>
      <c r="I3160" t="s">
        <v>4357</v>
      </c>
      <c r="J3160" s="9"/>
      <c r="K3160" s="9"/>
      <c r="L3160" s="9"/>
    </row>
    <row r="3161" spans="2:12" ht="15" x14ac:dyDescent="0.25">
      <c r="B3161" t="s">
        <v>2102</v>
      </c>
      <c r="C3161" t="s">
        <v>2103</v>
      </c>
      <c r="D3161" t="str">
        <f>HYPERLINK("https://rhld.insurance.arkansas.gov/NPILookup?Npi=1790907418","1790907418")</f>
        <v>1790907418</v>
      </c>
      <c r="E3161" t="s">
        <v>3140</v>
      </c>
      <c r="F3161" t="s">
        <v>12</v>
      </c>
      <c r="G3161" s="20">
        <v>1</v>
      </c>
      <c r="H3161" t="s">
        <v>139</v>
      </c>
      <c r="I3161" t="s">
        <v>4357</v>
      </c>
      <c r="J3161" s="9"/>
      <c r="K3161" s="9"/>
      <c r="L3161" s="9"/>
    </row>
    <row r="3162" spans="2:12" ht="15" x14ac:dyDescent="0.25">
      <c r="B3162" t="s">
        <v>2102</v>
      </c>
      <c r="C3162" t="s">
        <v>2103</v>
      </c>
      <c r="D3162" t="str">
        <f>HYPERLINK("https://rhld.insurance.arkansas.gov/NPILookup?Npi=1790914372","1790914372")</f>
        <v>1790914372</v>
      </c>
      <c r="E3162" t="s">
        <v>4607</v>
      </c>
      <c r="F3162" t="s">
        <v>12</v>
      </c>
      <c r="G3162" s="20">
        <v>1</v>
      </c>
      <c r="H3162" t="s">
        <v>4349</v>
      </c>
      <c r="I3162" t="s">
        <v>32</v>
      </c>
      <c r="J3162" s="9"/>
      <c r="K3162" s="9"/>
      <c r="L3162" s="9"/>
    </row>
    <row r="3163" spans="2:12" ht="15" x14ac:dyDescent="0.25">
      <c r="B3163" t="s">
        <v>2102</v>
      </c>
      <c r="C3163" t="s">
        <v>2103</v>
      </c>
      <c r="D3163" t="str">
        <f>HYPERLINK("https://rhld.insurance.arkansas.gov/NPILookup?Npi=1790933513","1790933513")</f>
        <v>1790933513</v>
      </c>
      <c r="E3163" t="s">
        <v>3141</v>
      </c>
      <c r="F3163" t="s">
        <v>12</v>
      </c>
      <c r="G3163" s="20">
        <v>1</v>
      </c>
      <c r="H3163" t="s">
        <v>4338</v>
      </c>
      <c r="I3163" t="s">
        <v>32</v>
      </c>
      <c r="J3163" s="9"/>
      <c r="K3163" s="9"/>
      <c r="L3163" s="9"/>
    </row>
    <row r="3164" spans="2:12" ht="15" x14ac:dyDescent="0.25">
      <c r="B3164" t="s">
        <v>2102</v>
      </c>
      <c r="C3164" t="s">
        <v>2103</v>
      </c>
      <c r="D3164" t="str">
        <f>HYPERLINK("https://rhld.insurance.arkansas.gov/NPILookup?Npi=1801150214","1801150214")</f>
        <v>1801150214</v>
      </c>
      <c r="E3164" t="s">
        <v>4608</v>
      </c>
      <c r="F3164" t="s">
        <v>12</v>
      </c>
      <c r="G3164" s="20">
        <v>1</v>
      </c>
      <c r="H3164" t="s">
        <v>4349</v>
      </c>
      <c r="I3164" t="s">
        <v>32</v>
      </c>
      <c r="J3164" s="9"/>
      <c r="K3164" s="9"/>
      <c r="L3164" s="9"/>
    </row>
    <row r="3165" spans="2:12" ht="15" x14ac:dyDescent="0.25">
      <c r="B3165" t="s">
        <v>2102</v>
      </c>
      <c r="C3165" t="s">
        <v>2103</v>
      </c>
      <c r="D3165" t="str">
        <f>HYPERLINK("https://rhld.insurance.arkansas.gov/NPILookup?Npi=1801188248","1801188248")</f>
        <v>1801188248</v>
      </c>
      <c r="E3165" t="s">
        <v>3143</v>
      </c>
      <c r="F3165" t="s">
        <v>12</v>
      </c>
      <c r="G3165" s="20">
        <v>1</v>
      </c>
      <c r="H3165" t="s">
        <v>4349</v>
      </c>
      <c r="I3165" t="s">
        <v>4357</v>
      </c>
      <c r="J3165" s="9"/>
      <c r="K3165" s="9"/>
      <c r="L3165" s="9"/>
    </row>
    <row r="3166" spans="2:12" ht="15" x14ac:dyDescent="0.25">
      <c r="B3166" t="s">
        <v>2102</v>
      </c>
      <c r="C3166" t="s">
        <v>2103</v>
      </c>
      <c r="D3166" t="str">
        <f>HYPERLINK("https://rhld.insurance.arkansas.gov/NPILookup?Npi=1801314760","1801314760")</f>
        <v>1801314760</v>
      </c>
      <c r="E3166" t="s">
        <v>3144</v>
      </c>
      <c r="F3166" t="s">
        <v>12</v>
      </c>
      <c r="G3166" s="20">
        <v>1</v>
      </c>
      <c r="H3166" t="s">
        <v>4338</v>
      </c>
      <c r="I3166" t="s">
        <v>32</v>
      </c>
      <c r="J3166" s="9"/>
      <c r="K3166" s="9"/>
      <c r="L3166" s="9"/>
    </row>
    <row r="3167" spans="2:12" ht="15" x14ac:dyDescent="0.25">
      <c r="B3167" t="s">
        <v>2102</v>
      </c>
      <c r="C3167" t="s">
        <v>2103</v>
      </c>
      <c r="D3167" t="str">
        <f>HYPERLINK("https://rhld.insurance.arkansas.gov/NPILookup?Npi=1801425202","1801425202")</f>
        <v>1801425202</v>
      </c>
      <c r="E3167" t="s">
        <v>3146</v>
      </c>
      <c r="F3167" t="s">
        <v>12</v>
      </c>
      <c r="G3167" s="20">
        <v>1</v>
      </c>
      <c r="H3167" t="s">
        <v>4349</v>
      </c>
      <c r="I3167" t="s">
        <v>32</v>
      </c>
      <c r="J3167" s="9"/>
      <c r="K3167" s="9"/>
      <c r="L3167" s="9"/>
    </row>
    <row r="3168" spans="2:12" ht="15" x14ac:dyDescent="0.25">
      <c r="B3168" t="s">
        <v>2102</v>
      </c>
      <c r="C3168" t="s">
        <v>2103</v>
      </c>
      <c r="D3168" t="str">
        <f>HYPERLINK("https://rhld.insurance.arkansas.gov/NPILookup?Npi=1801473905","1801473905")</f>
        <v>1801473905</v>
      </c>
      <c r="E3168" t="s">
        <v>3147</v>
      </c>
      <c r="F3168" t="s">
        <v>13</v>
      </c>
      <c r="G3168" s="20">
        <v>1</v>
      </c>
      <c r="H3168" t="s">
        <v>4357</v>
      </c>
      <c r="I3168" t="s">
        <v>4357</v>
      </c>
      <c r="J3168" s="9"/>
      <c r="K3168" s="9"/>
      <c r="L3168" s="9"/>
    </row>
    <row r="3169" spans="2:12" ht="15" x14ac:dyDescent="0.25">
      <c r="B3169" t="s">
        <v>2102</v>
      </c>
      <c r="C3169" t="s">
        <v>2103</v>
      </c>
      <c r="D3169" t="str">
        <f>HYPERLINK("https://rhld.insurance.arkansas.gov/NPILookup?Npi=1801615786","1801615786")</f>
        <v>1801615786</v>
      </c>
      <c r="E3169" t="s">
        <v>3148</v>
      </c>
      <c r="F3169" t="s">
        <v>13</v>
      </c>
      <c r="G3169" s="20">
        <v>1</v>
      </c>
      <c r="H3169" t="s">
        <v>4357</v>
      </c>
      <c r="I3169" t="s">
        <v>4357</v>
      </c>
      <c r="J3169" s="9"/>
      <c r="K3169" s="9"/>
      <c r="L3169" s="9"/>
    </row>
    <row r="3170" spans="2:12" ht="15" x14ac:dyDescent="0.25">
      <c r="B3170" t="s">
        <v>2102</v>
      </c>
      <c r="C3170" t="s">
        <v>2103</v>
      </c>
      <c r="D3170" t="str">
        <f>HYPERLINK("https://rhld.insurance.arkansas.gov/NPILookup?Npi=1801881891","1801881891")</f>
        <v>1801881891</v>
      </c>
      <c r="E3170" t="s">
        <v>3149</v>
      </c>
      <c r="F3170" t="s">
        <v>12</v>
      </c>
      <c r="G3170" s="20">
        <v>1</v>
      </c>
      <c r="H3170" t="s">
        <v>4349</v>
      </c>
      <c r="I3170" t="s">
        <v>4357</v>
      </c>
      <c r="J3170" s="9"/>
      <c r="K3170" s="9"/>
      <c r="L3170" s="9"/>
    </row>
    <row r="3171" spans="2:12" ht="15" x14ac:dyDescent="0.25">
      <c r="B3171" t="s">
        <v>2102</v>
      </c>
      <c r="C3171" t="s">
        <v>2103</v>
      </c>
      <c r="D3171" t="str">
        <f>HYPERLINK("https://rhld.insurance.arkansas.gov/NPILookup?Npi=1801891387","1801891387")</f>
        <v>1801891387</v>
      </c>
      <c r="E3171" t="s">
        <v>3150</v>
      </c>
      <c r="F3171" t="s">
        <v>12</v>
      </c>
      <c r="G3171" s="20">
        <v>1</v>
      </c>
      <c r="H3171" t="s">
        <v>4338</v>
      </c>
      <c r="I3171" t="s">
        <v>32</v>
      </c>
      <c r="J3171" s="9"/>
      <c r="K3171" s="9"/>
      <c r="L3171" s="9"/>
    </row>
    <row r="3172" spans="2:12" ht="15" x14ac:dyDescent="0.25">
      <c r="B3172" t="s">
        <v>2102</v>
      </c>
      <c r="C3172" t="s">
        <v>2103</v>
      </c>
      <c r="D3172" t="str">
        <f>HYPERLINK("https://rhld.insurance.arkansas.gov/NPILookup?Npi=1801898630","1801898630")</f>
        <v>1801898630</v>
      </c>
      <c r="E3172" t="s">
        <v>3151</v>
      </c>
      <c r="F3172" t="s">
        <v>12</v>
      </c>
      <c r="G3172" s="20">
        <v>1</v>
      </c>
      <c r="H3172" t="s">
        <v>4349</v>
      </c>
      <c r="I3172" t="s">
        <v>32</v>
      </c>
      <c r="J3172" s="9"/>
      <c r="K3172" s="9"/>
      <c r="L3172" s="9"/>
    </row>
    <row r="3173" spans="2:12" ht="15" x14ac:dyDescent="0.25">
      <c r="B3173" t="s">
        <v>2102</v>
      </c>
      <c r="C3173" t="s">
        <v>2103</v>
      </c>
      <c r="D3173" t="str">
        <f>HYPERLINK("https://rhld.insurance.arkansas.gov/NPILookup?Npi=1801958145","1801958145")</f>
        <v>1801958145</v>
      </c>
      <c r="E3173" t="s">
        <v>3152</v>
      </c>
      <c r="F3173" t="s">
        <v>12</v>
      </c>
      <c r="G3173" s="20">
        <v>1</v>
      </c>
      <c r="H3173" t="s">
        <v>4338</v>
      </c>
      <c r="I3173" t="s">
        <v>32</v>
      </c>
      <c r="J3173" s="9"/>
      <c r="K3173" s="9"/>
      <c r="L3173" s="9"/>
    </row>
    <row r="3174" spans="2:12" ht="15" x14ac:dyDescent="0.25">
      <c r="B3174" t="s">
        <v>2102</v>
      </c>
      <c r="C3174" t="s">
        <v>2103</v>
      </c>
      <c r="D3174" t="str">
        <f>HYPERLINK("https://rhld.insurance.arkansas.gov/NPILookup?Npi=1811001282","1811001282")</f>
        <v>1811001282</v>
      </c>
      <c r="E3174" t="s">
        <v>321</v>
      </c>
      <c r="F3174" t="s">
        <v>12</v>
      </c>
      <c r="G3174" s="20">
        <v>1</v>
      </c>
      <c r="H3174" t="s">
        <v>4338</v>
      </c>
      <c r="I3174" t="s">
        <v>32</v>
      </c>
      <c r="J3174" s="9"/>
      <c r="K3174" s="9"/>
      <c r="L3174" s="9"/>
    </row>
    <row r="3175" spans="2:12" ht="15" x14ac:dyDescent="0.25">
      <c r="B3175" t="s">
        <v>2102</v>
      </c>
      <c r="C3175" t="s">
        <v>2103</v>
      </c>
      <c r="D3175" t="str">
        <f>HYPERLINK("https://rhld.insurance.arkansas.gov/NPILookup?Npi=1811198039","1811198039")</f>
        <v>1811198039</v>
      </c>
      <c r="E3175" t="s">
        <v>3154</v>
      </c>
      <c r="F3175" t="s">
        <v>12</v>
      </c>
      <c r="G3175" s="20">
        <v>1</v>
      </c>
      <c r="H3175" t="s">
        <v>4338</v>
      </c>
      <c r="I3175" t="s">
        <v>32</v>
      </c>
      <c r="J3175" s="9"/>
      <c r="K3175" s="9"/>
      <c r="L3175" s="9"/>
    </row>
    <row r="3176" spans="2:12" ht="15" x14ac:dyDescent="0.25">
      <c r="B3176" t="s">
        <v>2102</v>
      </c>
      <c r="C3176" t="s">
        <v>2103</v>
      </c>
      <c r="D3176" t="str">
        <f>HYPERLINK("https://rhld.insurance.arkansas.gov/NPILookup?Npi=1811198070","1811198070")</f>
        <v>1811198070</v>
      </c>
      <c r="E3176" t="s">
        <v>4609</v>
      </c>
      <c r="F3176" t="s">
        <v>12</v>
      </c>
      <c r="G3176" s="20">
        <v>1</v>
      </c>
      <c r="H3176" t="s">
        <v>4349</v>
      </c>
      <c r="I3176" t="s">
        <v>32</v>
      </c>
      <c r="J3176" s="9"/>
      <c r="K3176" s="9"/>
      <c r="L3176" s="9"/>
    </row>
    <row r="3177" spans="2:12" ht="15" x14ac:dyDescent="0.25">
      <c r="B3177" t="s">
        <v>2102</v>
      </c>
      <c r="C3177" t="s">
        <v>2103</v>
      </c>
      <c r="D3177" t="str">
        <f>HYPERLINK("https://rhld.insurance.arkansas.gov/NPILookup?Npi=1811287857","1811287857")</f>
        <v>1811287857</v>
      </c>
      <c r="E3177" t="s">
        <v>3155</v>
      </c>
      <c r="F3177" t="s">
        <v>12</v>
      </c>
      <c r="G3177" s="20">
        <v>1</v>
      </c>
      <c r="H3177" t="s">
        <v>4349</v>
      </c>
      <c r="I3177" t="s">
        <v>32</v>
      </c>
      <c r="J3177" s="9"/>
      <c r="K3177" s="9"/>
      <c r="L3177" s="9"/>
    </row>
    <row r="3178" spans="2:12" ht="15" x14ac:dyDescent="0.25">
      <c r="B3178" t="s">
        <v>2102</v>
      </c>
      <c r="C3178" t="s">
        <v>2103</v>
      </c>
      <c r="D3178" t="str">
        <f>HYPERLINK("https://rhld.insurance.arkansas.gov/NPILookup?Npi=1811429293","1811429293")</f>
        <v>1811429293</v>
      </c>
      <c r="E3178" t="s">
        <v>3156</v>
      </c>
      <c r="F3178" t="s">
        <v>12</v>
      </c>
      <c r="G3178" s="20">
        <v>1</v>
      </c>
      <c r="H3178" t="s">
        <v>4349</v>
      </c>
      <c r="I3178" t="s">
        <v>32</v>
      </c>
      <c r="J3178" s="9"/>
      <c r="K3178" s="9"/>
      <c r="L3178" s="9"/>
    </row>
    <row r="3179" spans="2:12" ht="15" x14ac:dyDescent="0.25">
      <c r="B3179" t="s">
        <v>2102</v>
      </c>
      <c r="C3179" t="s">
        <v>2103</v>
      </c>
      <c r="D3179" t="str">
        <f>HYPERLINK("https://rhld.insurance.arkansas.gov/NPILookup?Npi=1811476146","1811476146")</f>
        <v>1811476146</v>
      </c>
      <c r="E3179" t="s">
        <v>3157</v>
      </c>
      <c r="F3179" t="s">
        <v>12</v>
      </c>
      <c r="G3179" s="20">
        <v>1</v>
      </c>
      <c r="H3179" t="s">
        <v>4338</v>
      </c>
      <c r="I3179" t="s">
        <v>32</v>
      </c>
      <c r="J3179" s="9"/>
      <c r="K3179" s="9"/>
      <c r="L3179" s="9"/>
    </row>
    <row r="3180" spans="2:12" ht="15" x14ac:dyDescent="0.25">
      <c r="B3180" t="s">
        <v>2102</v>
      </c>
      <c r="C3180" t="s">
        <v>2103</v>
      </c>
      <c r="D3180" t="str">
        <f>HYPERLINK("https://rhld.insurance.arkansas.gov/NPILookup?Npi=1811498280","1811498280")</f>
        <v>1811498280</v>
      </c>
      <c r="E3180" t="s">
        <v>3158</v>
      </c>
      <c r="F3180" t="s">
        <v>13</v>
      </c>
      <c r="G3180" s="20">
        <v>1</v>
      </c>
      <c r="H3180" t="s">
        <v>87</v>
      </c>
      <c r="I3180" t="s">
        <v>4357</v>
      </c>
      <c r="J3180" s="9"/>
      <c r="K3180" s="9"/>
      <c r="L3180" s="9"/>
    </row>
    <row r="3181" spans="2:12" ht="15" x14ac:dyDescent="0.25">
      <c r="B3181" t="s">
        <v>2102</v>
      </c>
      <c r="C3181" t="s">
        <v>2103</v>
      </c>
      <c r="D3181" t="str">
        <f>HYPERLINK("https://rhld.insurance.arkansas.gov/NPILookup?Npi=1811533300","1811533300")</f>
        <v>1811533300</v>
      </c>
      <c r="E3181" t="s">
        <v>3159</v>
      </c>
      <c r="F3181" t="s">
        <v>12</v>
      </c>
      <c r="G3181" s="20">
        <v>1</v>
      </c>
      <c r="H3181" t="s">
        <v>4338</v>
      </c>
      <c r="I3181" t="s">
        <v>32</v>
      </c>
      <c r="J3181" s="9"/>
      <c r="K3181" s="9"/>
      <c r="L3181" s="9"/>
    </row>
    <row r="3182" spans="2:12" ht="15" x14ac:dyDescent="0.25">
      <c r="B3182" t="s">
        <v>2102</v>
      </c>
      <c r="C3182" t="s">
        <v>2103</v>
      </c>
      <c r="D3182" t="str">
        <f>HYPERLINK("https://rhld.insurance.arkansas.gov/NPILookup?Npi=1811565948","1811565948")</f>
        <v>1811565948</v>
      </c>
      <c r="E3182" t="s">
        <v>3160</v>
      </c>
      <c r="F3182" t="s">
        <v>13</v>
      </c>
      <c r="G3182" s="20">
        <v>1</v>
      </c>
      <c r="H3182" t="s">
        <v>4357</v>
      </c>
      <c r="I3182" t="s">
        <v>4357</v>
      </c>
      <c r="J3182" s="9"/>
      <c r="K3182" s="9"/>
      <c r="L3182" s="9"/>
    </row>
    <row r="3183" spans="2:12" ht="15" x14ac:dyDescent="0.25">
      <c r="B3183" t="s">
        <v>2102</v>
      </c>
      <c r="C3183" t="s">
        <v>2103</v>
      </c>
      <c r="D3183" t="str">
        <f>HYPERLINK("https://rhld.insurance.arkansas.gov/NPILookup?Npi=1811575012","1811575012")</f>
        <v>1811575012</v>
      </c>
      <c r="E3183" t="s">
        <v>3161</v>
      </c>
      <c r="F3183" t="s">
        <v>13</v>
      </c>
      <c r="G3183" s="20">
        <v>1</v>
      </c>
      <c r="H3183" t="s">
        <v>4357</v>
      </c>
      <c r="I3183" t="s">
        <v>4357</v>
      </c>
      <c r="J3183" s="9"/>
      <c r="K3183" s="9"/>
      <c r="L3183" s="9"/>
    </row>
    <row r="3184" spans="2:12" ht="15" x14ac:dyDescent="0.25">
      <c r="B3184" t="s">
        <v>2102</v>
      </c>
      <c r="C3184" t="s">
        <v>2103</v>
      </c>
      <c r="D3184" t="str">
        <f>HYPERLINK("https://rhld.insurance.arkansas.gov/NPILookup?Npi=1811633845","1811633845")</f>
        <v>1811633845</v>
      </c>
      <c r="E3184" t="s">
        <v>3162</v>
      </c>
      <c r="F3184" t="s">
        <v>12</v>
      </c>
      <c r="G3184" s="20">
        <v>1</v>
      </c>
      <c r="H3184" t="s">
        <v>4338</v>
      </c>
      <c r="I3184" t="s">
        <v>32</v>
      </c>
      <c r="J3184" s="9"/>
      <c r="K3184" s="9"/>
      <c r="L3184" s="9"/>
    </row>
    <row r="3185" spans="2:12" ht="15" x14ac:dyDescent="0.25">
      <c r="B3185" t="s">
        <v>2102</v>
      </c>
      <c r="C3185" t="s">
        <v>2103</v>
      </c>
      <c r="D3185" t="str">
        <f>HYPERLINK("https://rhld.insurance.arkansas.gov/NPILookup?Npi=1811904915","1811904915")</f>
        <v>1811904915</v>
      </c>
      <c r="E3185" t="s">
        <v>1830</v>
      </c>
      <c r="F3185" t="s">
        <v>12</v>
      </c>
      <c r="G3185" s="20">
        <v>1</v>
      </c>
      <c r="H3185" t="s">
        <v>4338</v>
      </c>
      <c r="I3185" t="s">
        <v>32</v>
      </c>
      <c r="J3185" s="9"/>
      <c r="K3185" s="9"/>
      <c r="L3185" s="9"/>
    </row>
    <row r="3186" spans="2:12" ht="15" x14ac:dyDescent="0.25">
      <c r="B3186" t="s">
        <v>2102</v>
      </c>
      <c r="C3186" t="s">
        <v>2103</v>
      </c>
      <c r="D3186" t="str">
        <f>HYPERLINK("https://rhld.insurance.arkansas.gov/NPILookup?Npi=1811955974","1811955974")</f>
        <v>1811955974</v>
      </c>
      <c r="E3186" t="s">
        <v>3163</v>
      </c>
      <c r="F3186" t="s">
        <v>12</v>
      </c>
      <c r="G3186" s="20">
        <v>1</v>
      </c>
      <c r="H3186" t="s">
        <v>4338</v>
      </c>
      <c r="I3186" t="s">
        <v>32</v>
      </c>
      <c r="J3186" s="9"/>
      <c r="K3186" s="9"/>
      <c r="L3186" s="9"/>
    </row>
    <row r="3187" spans="2:12" ht="15" x14ac:dyDescent="0.25">
      <c r="B3187" t="s">
        <v>2102</v>
      </c>
      <c r="C3187" t="s">
        <v>2103</v>
      </c>
      <c r="D3187" t="str">
        <f>HYPERLINK("https://rhld.insurance.arkansas.gov/NPILookup?Npi=1811958689","1811958689")</f>
        <v>1811958689</v>
      </c>
      <c r="E3187" t="s">
        <v>132</v>
      </c>
      <c r="F3187" t="s">
        <v>12</v>
      </c>
      <c r="G3187" s="20">
        <v>1</v>
      </c>
      <c r="H3187" t="s">
        <v>4349</v>
      </c>
      <c r="I3187" t="s">
        <v>4357</v>
      </c>
      <c r="J3187" s="9"/>
      <c r="K3187" s="9"/>
      <c r="L3187" s="9"/>
    </row>
    <row r="3188" spans="2:12" ht="15" x14ac:dyDescent="0.25">
      <c r="B3188" t="s">
        <v>2102</v>
      </c>
      <c r="C3188" t="s">
        <v>2103</v>
      </c>
      <c r="D3188" t="str">
        <f>HYPERLINK("https://rhld.insurance.arkansas.gov/NPILookup?Npi=1811960255","1811960255")</f>
        <v>1811960255</v>
      </c>
      <c r="E3188" t="s">
        <v>3164</v>
      </c>
      <c r="F3188" t="s">
        <v>12</v>
      </c>
      <c r="G3188" s="20">
        <v>1</v>
      </c>
      <c r="H3188" t="s">
        <v>4338</v>
      </c>
      <c r="I3188" t="s">
        <v>32</v>
      </c>
      <c r="J3188" s="9"/>
      <c r="K3188" s="9"/>
      <c r="L3188" s="9"/>
    </row>
    <row r="3189" spans="2:12" ht="15" x14ac:dyDescent="0.25">
      <c r="B3189" t="s">
        <v>2102</v>
      </c>
      <c r="C3189" t="s">
        <v>2103</v>
      </c>
      <c r="D3189" t="str">
        <f>HYPERLINK("https://rhld.insurance.arkansas.gov/NPILookup?Npi=1811976509","1811976509")</f>
        <v>1811976509</v>
      </c>
      <c r="E3189" t="s">
        <v>3165</v>
      </c>
      <c r="F3189" t="s">
        <v>12</v>
      </c>
      <c r="G3189" s="20">
        <v>1</v>
      </c>
      <c r="H3189" t="s">
        <v>4338</v>
      </c>
      <c r="I3189" t="s">
        <v>32</v>
      </c>
      <c r="J3189" s="9"/>
      <c r="K3189" s="9"/>
      <c r="L3189" s="9"/>
    </row>
    <row r="3190" spans="2:12" ht="15" x14ac:dyDescent="0.25">
      <c r="B3190" t="s">
        <v>2102</v>
      </c>
      <c r="C3190" t="s">
        <v>2103</v>
      </c>
      <c r="D3190" t="str">
        <f>HYPERLINK("https://rhld.insurance.arkansas.gov/NPILookup?Npi=1821016361","1821016361")</f>
        <v>1821016361</v>
      </c>
      <c r="E3190" t="s">
        <v>849</v>
      </c>
      <c r="F3190" t="s">
        <v>13</v>
      </c>
      <c r="G3190" s="20">
        <v>1</v>
      </c>
      <c r="H3190" t="s">
        <v>4357</v>
      </c>
      <c r="I3190" t="s">
        <v>4357</v>
      </c>
      <c r="J3190" s="9"/>
      <c r="K3190" s="9"/>
      <c r="L3190" s="9"/>
    </row>
    <row r="3191" spans="2:12" ht="15" x14ac:dyDescent="0.25">
      <c r="B3191" t="s">
        <v>2102</v>
      </c>
      <c r="C3191" t="s">
        <v>2103</v>
      </c>
      <c r="D3191" t="str">
        <f>HYPERLINK("https://rhld.insurance.arkansas.gov/NPILookup?Npi=1821036468","1821036468")</f>
        <v>1821036468</v>
      </c>
      <c r="E3191" t="s">
        <v>3166</v>
      </c>
      <c r="F3191" t="s">
        <v>12</v>
      </c>
      <c r="G3191" s="20">
        <v>1</v>
      </c>
      <c r="H3191" t="s">
        <v>4349</v>
      </c>
      <c r="I3191" t="s">
        <v>4357</v>
      </c>
      <c r="J3191" s="9"/>
      <c r="K3191" s="9"/>
      <c r="L3191" s="9"/>
    </row>
    <row r="3192" spans="2:12" ht="15" x14ac:dyDescent="0.25">
      <c r="B3192" t="s">
        <v>2102</v>
      </c>
      <c r="C3192" t="s">
        <v>2103</v>
      </c>
      <c r="D3192" t="str">
        <f>HYPERLINK("https://rhld.insurance.arkansas.gov/NPILookup?Npi=1821085648","1821085648")</f>
        <v>1821085648</v>
      </c>
      <c r="E3192" t="s">
        <v>3167</v>
      </c>
      <c r="F3192" t="s">
        <v>12</v>
      </c>
      <c r="G3192" s="20">
        <v>1</v>
      </c>
      <c r="H3192" t="s">
        <v>139</v>
      </c>
      <c r="I3192" t="s">
        <v>32</v>
      </c>
      <c r="J3192" s="9"/>
      <c r="K3192" s="9"/>
      <c r="L3192" s="9"/>
    </row>
    <row r="3193" spans="2:12" ht="15" x14ac:dyDescent="0.25">
      <c r="B3193" t="s">
        <v>2102</v>
      </c>
      <c r="C3193" t="s">
        <v>2103</v>
      </c>
      <c r="D3193" t="str">
        <f>HYPERLINK("https://rhld.insurance.arkansas.gov/NPILookup?Npi=1821086547","1821086547")</f>
        <v>1821086547</v>
      </c>
      <c r="E3193" t="s">
        <v>4610</v>
      </c>
      <c r="F3193" t="s">
        <v>12</v>
      </c>
      <c r="G3193" s="20">
        <v>1</v>
      </c>
      <c r="H3193" t="s">
        <v>4349</v>
      </c>
      <c r="I3193" t="s">
        <v>32</v>
      </c>
      <c r="J3193" s="9"/>
      <c r="K3193" s="9"/>
      <c r="L3193" s="9"/>
    </row>
    <row r="3194" spans="2:12" ht="15" x14ac:dyDescent="0.25">
      <c r="B3194" t="s">
        <v>2102</v>
      </c>
      <c r="C3194" t="s">
        <v>2103</v>
      </c>
      <c r="D3194" t="str">
        <f>HYPERLINK("https://rhld.insurance.arkansas.gov/NPILookup?Npi=1821091612","1821091612")</f>
        <v>1821091612</v>
      </c>
      <c r="E3194" t="s">
        <v>985</v>
      </c>
      <c r="F3194" t="s">
        <v>12</v>
      </c>
      <c r="G3194" s="20">
        <v>1</v>
      </c>
      <c r="H3194" t="s">
        <v>4349</v>
      </c>
      <c r="I3194" t="s">
        <v>4357</v>
      </c>
      <c r="J3194" s="9"/>
      <c r="K3194" s="9"/>
      <c r="L3194" s="9"/>
    </row>
    <row r="3195" spans="2:12" ht="15" x14ac:dyDescent="0.25">
      <c r="B3195" t="s">
        <v>2102</v>
      </c>
      <c r="C3195" t="s">
        <v>2103</v>
      </c>
      <c r="D3195" t="str">
        <f>HYPERLINK("https://rhld.insurance.arkansas.gov/NPILookup?Npi=1821099839","1821099839")</f>
        <v>1821099839</v>
      </c>
      <c r="E3195" t="s">
        <v>852</v>
      </c>
      <c r="F3195" t="s">
        <v>12</v>
      </c>
      <c r="G3195" s="20">
        <v>1</v>
      </c>
      <c r="H3195" t="s">
        <v>4349</v>
      </c>
      <c r="I3195" t="s">
        <v>4357</v>
      </c>
      <c r="J3195" s="9"/>
      <c r="K3195" s="9"/>
      <c r="L3195" s="9"/>
    </row>
    <row r="3196" spans="2:12" ht="15" x14ac:dyDescent="0.25">
      <c r="B3196" t="s">
        <v>2102</v>
      </c>
      <c r="C3196" t="s">
        <v>2103</v>
      </c>
      <c r="D3196" t="str">
        <f>HYPERLINK("https://rhld.insurance.arkansas.gov/NPILookup?Npi=1821282526","1821282526")</f>
        <v>1821282526</v>
      </c>
      <c r="E3196" t="s">
        <v>3168</v>
      </c>
      <c r="F3196" t="s">
        <v>12</v>
      </c>
      <c r="G3196" s="20">
        <v>1</v>
      </c>
      <c r="H3196" t="s">
        <v>4349</v>
      </c>
      <c r="I3196" t="s">
        <v>32</v>
      </c>
      <c r="J3196" s="9"/>
      <c r="K3196" s="9"/>
      <c r="L3196" s="9"/>
    </row>
    <row r="3197" spans="2:12" ht="15" x14ac:dyDescent="0.25">
      <c r="B3197" t="s">
        <v>2102</v>
      </c>
      <c r="C3197" t="s">
        <v>2103</v>
      </c>
      <c r="D3197" t="str">
        <f>HYPERLINK("https://rhld.insurance.arkansas.gov/NPILookup?Npi=1821330895","1821330895")</f>
        <v>1821330895</v>
      </c>
      <c r="E3197" t="s">
        <v>3169</v>
      </c>
      <c r="F3197" t="s">
        <v>12</v>
      </c>
      <c r="G3197" s="20">
        <v>1</v>
      </c>
      <c r="H3197" t="s">
        <v>4338</v>
      </c>
      <c r="I3197" t="s">
        <v>4357</v>
      </c>
      <c r="J3197" s="9"/>
      <c r="K3197" s="9"/>
      <c r="L3197" s="9"/>
    </row>
    <row r="3198" spans="2:12" ht="15" x14ac:dyDescent="0.25">
      <c r="B3198" t="s">
        <v>2102</v>
      </c>
      <c r="C3198" t="s">
        <v>2103</v>
      </c>
      <c r="D3198" t="str">
        <f>HYPERLINK("https://rhld.insurance.arkansas.gov/NPILookup?Npi=1821363508","1821363508")</f>
        <v>1821363508</v>
      </c>
      <c r="E3198" t="s">
        <v>3170</v>
      </c>
      <c r="F3198" t="s">
        <v>13</v>
      </c>
      <c r="G3198" s="20">
        <v>1</v>
      </c>
      <c r="H3198" t="s">
        <v>4357</v>
      </c>
      <c r="I3198" t="s">
        <v>4357</v>
      </c>
      <c r="J3198" s="9"/>
      <c r="K3198" s="9"/>
      <c r="L3198" s="9"/>
    </row>
    <row r="3199" spans="2:12" ht="15" x14ac:dyDescent="0.25">
      <c r="B3199" t="s">
        <v>2102</v>
      </c>
      <c r="C3199" t="s">
        <v>2103</v>
      </c>
      <c r="D3199" t="str">
        <f>HYPERLINK("https://rhld.insurance.arkansas.gov/NPILookup?Npi=1821435439","1821435439")</f>
        <v>1821435439</v>
      </c>
      <c r="E3199" t="s">
        <v>3171</v>
      </c>
      <c r="F3199" t="s">
        <v>12</v>
      </c>
      <c r="G3199" s="20">
        <v>1</v>
      </c>
      <c r="H3199" t="s">
        <v>4338</v>
      </c>
      <c r="I3199" t="s">
        <v>32</v>
      </c>
      <c r="J3199" s="9"/>
      <c r="K3199" s="9"/>
      <c r="L3199" s="9"/>
    </row>
    <row r="3200" spans="2:12" ht="15" x14ac:dyDescent="0.25">
      <c r="B3200" t="s">
        <v>2102</v>
      </c>
      <c r="C3200" t="s">
        <v>2103</v>
      </c>
      <c r="D3200" t="str">
        <f>HYPERLINK("https://rhld.insurance.arkansas.gov/NPILookup?Npi=1821528134","1821528134")</f>
        <v>1821528134</v>
      </c>
      <c r="E3200" t="s">
        <v>3173</v>
      </c>
      <c r="F3200" t="s">
        <v>12</v>
      </c>
      <c r="G3200" s="20">
        <v>1</v>
      </c>
      <c r="H3200" t="s">
        <v>4338</v>
      </c>
      <c r="I3200" t="s">
        <v>4357</v>
      </c>
      <c r="J3200" s="9"/>
      <c r="K3200" s="9"/>
      <c r="L3200" s="9"/>
    </row>
    <row r="3201" spans="2:12" ht="15" x14ac:dyDescent="0.25">
      <c r="B3201" t="s">
        <v>2102</v>
      </c>
      <c r="C3201" t="s">
        <v>2103</v>
      </c>
      <c r="D3201" t="str">
        <f>HYPERLINK("https://rhld.insurance.arkansas.gov/NPILookup?Npi=1821575069","1821575069")</f>
        <v>1821575069</v>
      </c>
      <c r="E3201" t="s">
        <v>3174</v>
      </c>
      <c r="F3201" t="s">
        <v>12</v>
      </c>
      <c r="G3201" s="20">
        <v>1</v>
      </c>
      <c r="H3201" t="s">
        <v>4349</v>
      </c>
      <c r="I3201" t="s">
        <v>4357</v>
      </c>
      <c r="J3201" s="9"/>
      <c r="K3201" s="9"/>
      <c r="L3201" s="9"/>
    </row>
    <row r="3202" spans="2:12" ht="15" x14ac:dyDescent="0.25">
      <c r="B3202" t="s">
        <v>2102</v>
      </c>
      <c r="C3202" t="s">
        <v>2103</v>
      </c>
      <c r="D3202" t="str">
        <f>HYPERLINK("https://rhld.insurance.arkansas.gov/NPILookup?Npi=1821619370","1821619370")</f>
        <v>1821619370</v>
      </c>
      <c r="E3202" t="s">
        <v>3175</v>
      </c>
      <c r="F3202" t="s">
        <v>12</v>
      </c>
      <c r="G3202" s="20">
        <v>1</v>
      </c>
      <c r="H3202" t="s">
        <v>4338</v>
      </c>
      <c r="I3202" t="s">
        <v>32</v>
      </c>
      <c r="J3202" s="9"/>
      <c r="K3202" s="9"/>
      <c r="L3202" s="9"/>
    </row>
    <row r="3203" spans="2:12" ht="15" x14ac:dyDescent="0.25">
      <c r="B3203" t="s">
        <v>2102</v>
      </c>
      <c r="C3203" t="s">
        <v>2103</v>
      </c>
      <c r="D3203" t="str">
        <f>HYPERLINK("https://rhld.insurance.arkansas.gov/NPILookup?Npi=1821660044","1821660044")</f>
        <v>1821660044</v>
      </c>
      <c r="E3203" t="s">
        <v>3176</v>
      </c>
      <c r="F3203" t="s">
        <v>13</v>
      </c>
      <c r="G3203" s="20">
        <v>1</v>
      </c>
      <c r="H3203" t="s">
        <v>4357</v>
      </c>
      <c r="I3203" t="s">
        <v>4357</v>
      </c>
      <c r="J3203" s="9"/>
      <c r="K3203" s="9"/>
      <c r="L3203" s="9"/>
    </row>
    <row r="3204" spans="2:12" ht="15" x14ac:dyDescent="0.25">
      <c r="B3204" t="s">
        <v>2102</v>
      </c>
      <c r="C3204" t="s">
        <v>2103</v>
      </c>
      <c r="D3204" t="str">
        <f>HYPERLINK("https://rhld.insurance.arkansas.gov/NPILookup?Npi=1821661802","1821661802")</f>
        <v>1821661802</v>
      </c>
      <c r="E3204" t="s">
        <v>3177</v>
      </c>
      <c r="F3204" t="s">
        <v>12</v>
      </c>
      <c r="G3204" s="20">
        <v>1</v>
      </c>
      <c r="H3204" t="s">
        <v>4338</v>
      </c>
      <c r="I3204" t="s">
        <v>32</v>
      </c>
      <c r="J3204" s="9"/>
      <c r="K3204" s="9"/>
      <c r="L3204" s="9"/>
    </row>
    <row r="3205" spans="2:12" ht="15" x14ac:dyDescent="0.25">
      <c r="B3205" t="s">
        <v>2102</v>
      </c>
      <c r="C3205" t="s">
        <v>2103</v>
      </c>
      <c r="D3205" t="str">
        <f>HYPERLINK("https://rhld.insurance.arkansas.gov/NPILookup?Npi=1821669979","1821669979")</f>
        <v>1821669979</v>
      </c>
      <c r="E3205" t="s">
        <v>3178</v>
      </c>
      <c r="F3205" t="s">
        <v>12</v>
      </c>
      <c r="G3205" s="20">
        <v>1</v>
      </c>
      <c r="H3205" t="s">
        <v>4338</v>
      </c>
      <c r="I3205" t="s">
        <v>32</v>
      </c>
      <c r="J3205" s="9"/>
      <c r="K3205" s="9"/>
      <c r="L3205" s="9"/>
    </row>
    <row r="3206" spans="2:12" ht="15" x14ac:dyDescent="0.25">
      <c r="B3206" t="s">
        <v>2102</v>
      </c>
      <c r="C3206" t="s">
        <v>2103</v>
      </c>
      <c r="D3206" t="str">
        <f>HYPERLINK("https://rhld.insurance.arkansas.gov/NPILookup?Npi=1821704925","1821704925")</f>
        <v>1821704925</v>
      </c>
      <c r="E3206" t="s">
        <v>3179</v>
      </c>
      <c r="F3206" t="s">
        <v>12</v>
      </c>
      <c r="G3206" s="20">
        <v>1</v>
      </c>
      <c r="H3206" t="s">
        <v>4338</v>
      </c>
      <c r="I3206" t="s">
        <v>32</v>
      </c>
      <c r="J3206" s="9"/>
      <c r="K3206" s="9"/>
      <c r="L3206" s="9"/>
    </row>
    <row r="3207" spans="2:12" ht="15" x14ac:dyDescent="0.25">
      <c r="B3207" t="s">
        <v>2102</v>
      </c>
      <c r="C3207" t="s">
        <v>2103</v>
      </c>
      <c r="D3207" t="str">
        <f>HYPERLINK("https://rhld.insurance.arkansas.gov/NPILookup?Npi=1821795394","1821795394")</f>
        <v>1821795394</v>
      </c>
      <c r="E3207" t="s">
        <v>3180</v>
      </c>
      <c r="F3207" t="s">
        <v>12</v>
      </c>
      <c r="G3207" s="20">
        <v>1</v>
      </c>
      <c r="H3207" t="s">
        <v>4338</v>
      </c>
      <c r="I3207" t="s">
        <v>32</v>
      </c>
      <c r="J3207" s="9"/>
      <c r="K3207" s="9"/>
      <c r="L3207" s="9"/>
    </row>
    <row r="3208" spans="2:12" ht="15" x14ac:dyDescent="0.25">
      <c r="B3208" t="s">
        <v>2102</v>
      </c>
      <c r="C3208" t="s">
        <v>2103</v>
      </c>
      <c r="D3208" t="str">
        <f>HYPERLINK("https://rhld.insurance.arkansas.gov/NPILookup?Npi=1821879644","1821879644")</f>
        <v>1821879644</v>
      </c>
      <c r="E3208" t="s">
        <v>2095</v>
      </c>
      <c r="F3208" t="s">
        <v>13</v>
      </c>
      <c r="G3208" s="20">
        <v>1</v>
      </c>
      <c r="H3208" t="s">
        <v>4357</v>
      </c>
      <c r="I3208" t="s">
        <v>4357</v>
      </c>
      <c r="J3208" s="9"/>
      <c r="K3208" s="9"/>
      <c r="L3208" s="9"/>
    </row>
    <row r="3209" spans="2:12" ht="15" x14ac:dyDescent="0.25">
      <c r="B3209" t="s">
        <v>2102</v>
      </c>
      <c r="C3209" t="s">
        <v>2103</v>
      </c>
      <c r="D3209" t="str">
        <f>HYPERLINK("https://rhld.insurance.arkansas.gov/NPILookup?Npi=1821895566","1821895566")</f>
        <v>1821895566</v>
      </c>
      <c r="E3209" t="s">
        <v>3181</v>
      </c>
      <c r="F3209" t="s">
        <v>13</v>
      </c>
      <c r="G3209" s="20">
        <v>1</v>
      </c>
      <c r="H3209" t="s">
        <v>4357</v>
      </c>
      <c r="I3209" t="s">
        <v>4357</v>
      </c>
      <c r="J3209" s="9"/>
      <c r="K3209" s="9"/>
      <c r="L3209" s="9"/>
    </row>
    <row r="3210" spans="2:12" ht="15" x14ac:dyDescent="0.25">
      <c r="B3210" t="s">
        <v>2102</v>
      </c>
      <c r="C3210" t="s">
        <v>2103</v>
      </c>
      <c r="D3210" t="str">
        <f>HYPERLINK("https://rhld.insurance.arkansas.gov/NPILookup?Npi=1831137579","1831137579")</f>
        <v>1831137579</v>
      </c>
      <c r="E3210" t="s">
        <v>3182</v>
      </c>
      <c r="F3210" t="s">
        <v>13</v>
      </c>
      <c r="G3210" s="20">
        <v>1</v>
      </c>
      <c r="H3210" t="s">
        <v>4357</v>
      </c>
      <c r="I3210" t="s">
        <v>4357</v>
      </c>
      <c r="J3210" s="9"/>
      <c r="K3210" s="9"/>
      <c r="L3210" s="9"/>
    </row>
    <row r="3211" spans="2:12" ht="15" x14ac:dyDescent="0.25">
      <c r="B3211" t="s">
        <v>2102</v>
      </c>
      <c r="C3211" t="s">
        <v>2103</v>
      </c>
      <c r="D3211" t="str">
        <f>HYPERLINK("https://rhld.insurance.arkansas.gov/NPILookup?Npi=1831201862","1831201862")</f>
        <v>1831201862</v>
      </c>
      <c r="E3211" t="s">
        <v>3183</v>
      </c>
      <c r="F3211" t="s">
        <v>12</v>
      </c>
      <c r="G3211" s="20">
        <v>1</v>
      </c>
      <c r="H3211" t="s">
        <v>4349</v>
      </c>
      <c r="I3211" t="s">
        <v>4357</v>
      </c>
      <c r="J3211" s="9"/>
      <c r="K3211" s="9"/>
      <c r="L3211" s="9"/>
    </row>
    <row r="3212" spans="2:12" ht="15" x14ac:dyDescent="0.25">
      <c r="B3212" t="s">
        <v>2102</v>
      </c>
      <c r="C3212" t="s">
        <v>2103</v>
      </c>
      <c r="D3212" t="str">
        <f>HYPERLINK("https://rhld.insurance.arkansas.gov/NPILookup?Npi=1831203157","1831203157")</f>
        <v>1831203157</v>
      </c>
      <c r="E3212" t="s">
        <v>858</v>
      </c>
      <c r="F3212" t="s">
        <v>12</v>
      </c>
      <c r="G3212" s="20">
        <v>1</v>
      </c>
      <c r="H3212" t="s">
        <v>4338</v>
      </c>
      <c r="I3212" t="s">
        <v>32</v>
      </c>
      <c r="J3212" s="9"/>
      <c r="K3212" s="9"/>
      <c r="L3212" s="9"/>
    </row>
    <row r="3213" spans="2:12" ht="15" x14ac:dyDescent="0.25">
      <c r="B3213" t="s">
        <v>2102</v>
      </c>
      <c r="C3213" t="s">
        <v>2103</v>
      </c>
      <c r="D3213" t="str">
        <f>HYPERLINK("https://rhld.insurance.arkansas.gov/NPILookup?Npi=1831308048","1831308048")</f>
        <v>1831308048</v>
      </c>
      <c r="E3213" t="s">
        <v>4611</v>
      </c>
      <c r="F3213" t="s">
        <v>12</v>
      </c>
      <c r="G3213" s="20">
        <v>1</v>
      </c>
      <c r="H3213" t="s">
        <v>4349</v>
      </c>
      <c r="I3213" t="s">
        <v>32</v>
      </c>
      <c r="J3213" s="9"/>
      <c r="K3213" s="9"/>
      <c r="L3213" s="9"/>
    </row>
    <row r="3214" spans="2:12" ht="15" x14ac:dyDescent="0.25">
      <c r="B3214" t="s">
        <v>2102</v>
      </c>
      <c r="C3214" t="s">
        <v>2103</v>
      </c>
      <c r="D3214" t="str">
        <f>HYPERLINK("https://rhld.insurance.arkansas.gov/NPILookup?Npi=1831348291","1831348291")</f>
        <v>1831348291</v>
      </c>
      <c r="E3214" t="s">
        <v>3184</v>
      </c>
      <c r="F3214" t="s">
        <v>12</v>
      </c>
      <c r="G3214" s="20">
        <v>1</v>
      </c>
      <c r="H3214" t="s">
        <v>4338</v>
      </c>
      <c r="I3214" t="s">
        <v>32</v>
      </c>
      <c r="J3214" s="9"/>
      <c r="K3214" s="9"/>
      <c r="L3214" s="9"/>
    </row>
    <row r="3215" spans="2:12" ht="15" x14ac:dyDescent="0.25">
      <c r="B3215" t="s">
        <v>2102</v>
      </c>
      <c r="C3215" t="s">
        <v>2103</v>
      </c>
      <c r="D3215" t="str">
        <f>HYPERLINK("https://rhld.insurance.arkansas.gov/NPILookup?Npi=1831410356","1831410356")</f>
        <v>1831410356</v>
      </c>
      <c r="E3215" t="s">
        <v>4612</v>
      </c>
      <c r="F3215" t="s">
        <v>12</v>
      </c>
      <c r="G3215" s="20">
        <v>1</v>
      </c>
      <c r="H3215" t="s">
        <v>4349</v>
      </c>
      <c r="I3215" t="s">
        <v>32</v>
      </c>
      <c r="J3215" s="9"/>
      <c r="K3215" s="9"/>
      <c r="L3215" s="9"/>
    </row>
    <row r="3216" spans="2:12" ht="15" x14ac:dyDescent="0.25">
      <c r="B3216" t="s">
        <v>2102</v>
      </c>
      <c r="C3216" t="s">
        <v>2103</v>
      </c>
      <c r="D3216" t="str">
        <f>HYPERLINK("https://rhld.insurance.arkansas.gov/NPILookup?Npi=1831445261","1831445261")</f>
        <v>1831445261</v>
      </c>
      <c r="E3216" t="s">
        <v>3186</v>
      </c>
      <c r="F3216" t="s">
        <v>12</v>
      </c>
      <c r="G3216" s="20">
        <v>1</v>
      </c>
      <c r="H3216" t="s">
        <v>4349</v>
      </c>
      <c r="I3216" t="s">
        <v>32</v>
      </c>
      <c r="J3216" s="9"/>
      <c r="K3216" s="9"/>
      <c r="L3216" s="9"/>
    </row>
    <row r="3217" spans="2:12" ht="15" x14ac:dyDescent="0.25">
      <c r="B3217" t="s">
        <v>2102</v>
      </c>
      <c r="C3217" t="s">
        <v>2103</v>
      </c>
      <c r="D3217" t="str">
        <f>HYPERLINK("https://rhld.insurance.arkansas.gov/NPILookup?Npi=1831465384","1831465384")</f>
        <v>1831465384</v>
      </c>
      <c r="E3217" t="s">
        <v>4613</v>
      </c>
      <c r="F3217" t="s">
        <v>12</v>
      </c>
      <c r="G3217" s="20">
        <v>1</v>
      </c>
      <c r="H3217" t="s">
        <v>4349</v>
      </c>
      <c r="I3217" t="s">
        <v>32</v>
      </c>
      <c r="J3217" s="9"/>
      <c r="K3217" s="9"/>
      <c r="L3217" s="9"/>
    </row>
    <row r="3218" spans="2:12" ht="15" x14ac:dyDescent="0.25">
      <c r="B3218" t="s">
        <v>2102</v>
      </c>
      <c r="C3218" t="s">
        <v>2103</v>
      </c>
      <c r="D3218" t="str">
        <f>HYPERLINK("https://rhld.insurance.arkansas.gov/NPILookup?Npi=1831471499","1831471499")</f>
        <v>1831471499</v>
      </c>
      <c r="E3218" t="s">
        <v>3187</v>
      </c>
      <c r="F3218" t="s">
        <v>12</v>
      </c>
      <c r="G3218" s="20">
        <v>1</v>
      </c>
      <c r="H3218" t="s">
        <v>4349</v>
      </c>
      <c r="I3218" t="s">
        <v>4357</v>
      </c>
      <c r="J3218" s="9"/>
      <c r="K3218" s="9"/>
      <c r="L3218" s="9"/>
    </row>
    <row r="3219" spans="2:12" ht="15" x14ac:dyDescent="0.25">
      <c r="B3219" t="s">
        <v>2102</v>
      </c>
      <c r="C3219" t="s">
        <v>2103</v>
      </c>
      <c r="D3219" t="str">
        <f>HYPERLINK("https://rhld.insurance.arkansas.gov/NPILookup?Npi=1831485788","1831485788")</f>
        <v>1831485788</v>
      </c>
      <c r="E3219" t="s">
        <v>4614</v>
      </c>
      <c r="F3219" t="s">
        <v>12</v>
      </c>
      <c r="G3219" s="20">
        <v>1</v>
      </c>
      <c r="H3219" t="s">
        <v>4349</v>
      </c>
      <c r="I3219" t="s">
        <v>4357</v>
      </c>
      <c r="J3219" s="9"/>
      <c r="K3219" s="9"/>
      <c r="L3219" s="9"/>
    </row>
    <row r="3220" spans="2:12" ht="15" x14ac:dyDescent="0.25">
      <c r="B3220" t="s">
        <v>2102</v>
      </c>
      <c r="C3220" t="s">
        <v>2103</v>
      </c>
      <c r="D3220" t="str">
        <f>HYPERLINK("https://rhld.insurance.arkansas.gov/NPILookup?Npi=1831693076","1831693076")</f>
        <v>1831693076</v>
      </c>
      <c r="E3220" t="s">
        <v>3188</v>
      </c>
      <c r="F3220" t="s">
        <v>12</v>
      </c>
      <c r="G3220" s="20">
        <v>1</v>
      </c>
      <c r="H3220" t="s">
        <v>4349</v>
      </c>
      <c r="I3220" t="s">
        <v>32</v>
      </c>
      <c r="J3220" s="9"/>
      <c r="K3220" s="9"/>
      <c r="L3220" s="9"/>
    </row>
    <row r="3221" spans="2:12" ht="15" x14ac:dyDescent="0.25">
      <c r="B3221" t="s">
        <v>2102</v>
      </c>
      <c r="C3221" t="s">
        <v>2103</v>
      </c>
      <c r="D3221" t="str">
        <f>HYPERLINK("https://rhld.insurance.arkansas.gov/NPILookup?Npi=1831712546","1831712546")</f>
        <v>1831712546</v>
      </c>
      <c r="E3221" t="s">
        <v>3189</v>
      </c>
      <c r="F3221" t="s">
        <v>12</v>
      </c>
      <c r="G3221" s="20">
        <v>1</v>
      </c>
      <c r="H3221" t="s">
        <v>4349</v>
      </c>
      <c r="I3221" t="s">
        <v>32</v>
      </c>
      <c r="J3221" s="9"/>
      <c r="K3221" s="9"/>
      <c r="L3221" s="9"/>
    </row>
    <row r="3222" spans="2:12" ht="15" x14ac:dyDescent="0.25">
      <c r="B3222" t="s">
        <v>2102</v>
      </c>
      <c r="C3222" t="s">
        <v>2103</v>
      </c>
      <c r="D3222" t="str">
        <f>HYPERLINK("https://rhld.insurance.arkansas.gov/NPILookup?Npi=1831717115","1831717115")</f>
        <v>1831717115</v>
      </c>
      <c r="E3222" t="s">
        <v>3190</v>
      </c>
      <c r="F3222" t="s">
        <v>12</v>
      </c>
      <c r="G3222" s="20">
        <v>1</v>
      </c>
      <c r="H3222" t="s">
        <v>4338</v>
      </c>
      <c r="I3222" t="s">
        <v>32</v>
      </c>
      <c r="J3222" s="9"/>
      <c r="K3222" s="9"/>
      <c r="L3222" s="9"/>
    </row>
    <row r="3223" spans="2:12" ht="15" x14ac:dyDescent="0.25">
      <c r="B3223" t="s">
        <v>2102</v>
      </c>
      <c r="C3223" t="s">
        <v>2103</v>
      </c>
      <c r="D3223" t="str">
        <f>HYPERLINK("https://rhld.insurance.arkansas.gov/NPILookup?Npi=1831727692","1831727692")</f>
        <v>1831727692</v>
      </c>
      <c r="E3223" t="s">
        <v>3191</v>
      </c>
      <c r="F3223" t="s">
        <v>12</v>
      </c>
      <c r="G3223" s="20">
        <v>1</v>
      </c>
      <c r="H3223" t="s">
        <v>4349</v>
      </c>
      <c r="I3223" t="s">
        <v>32</v>
      </c>
      <c r="J3223" s="9"/>
      <c r="K3223" s="9"/>
      <c r="L3223" s="9"/>
    </row>
    <row r="3224" spans="2:12" ht="15" x14ac:dyDescent="0.25">
      <c r="B3224" t="s">
        <v>2102</v>
      </c>
      <c r="C3224" t="s">
        <v>2103</v>
      </c>
      <c r="D3224" t="str">
        <f>HYPERLINK("https://rhld.insurance.arkansas.gov/NPILookup?Npi=1831757053","1831757053")</f>
        <v>1831757053</v>
      </c>
      <c r="E3224" t="s">
        <v>3192</v>
      </c>
      <c r="F3224" t="s">
        <v>13</v>
      </c>
      <c r="G3224" s="20">
        <v>1</v>
      </c>
      <c r="H3224" t="s">
        <v>87</v>
      </c>
      <c r="I3224" t="s">
        <v>32</v>
      </c>
      <c r="J3224" s="9"/>
      <c r="K3224" s="9"/>
      <c r="L3224" s="9"/>
    </row>
    <row r="3225" spans="2:12" ht="15" x14ac:dyDescent="0.25">
      <c r="B3225" t="s">
        <v>2102</v>
      </c>
      <c r="C3225" t="s">
        <v>2103</v>
      </c>
      <c r="D3225" t="str">
        <f>HYPERLINK("https://rhld.insurance.arkansas.gov/NPILookup?Npi=1831831833","1831831833")</f>
        <v>1831831833</v>
      </c>
      <c r="E3225" t="s">
        <v>3193</v>
      </c>
      <c r="F3225" t="s">
        <v>12</v>
      </c>
      <c r="G3225" s="20">
        <v>1</v>
      </c>
      <c r="H3225" t="s">
        <v>4338</v>
      </c>
      <c r="I3225" t="s">
        <v>32</v>
      </c>
      <c r="J3225" s="9"/>
      <c r="K3225" s="9"/>
      <c r="L3225" s="9"/>
    </row>
    <row r="3226" spans="2:12" ht="15" x14ac:dyDescent="0.25">
      <c r="B3226" t="s">
        <v>2102</v>
      </c>
      <c r="C3226" t="s">
        <v>2103</v>
      </c>
      <c r="D3226" t="str">
        <f>HYPERLINK("https://rhld.insurance.arkansas.gov/NPILookup?Npi=1831837327","1831837327")</f>
        <v>1831837327</v>
      </c>
      <c r="E3226" t="s">
        <v>3194</v>
      </c>
      <c r="F3226" t="s">
        <v>13</v>
      </c>
      <c r="G3226" s="20">
        <v>1</v>
      </c>
      <c r="H3226" t="s">
        <v>4357</v>
      </c>
      <c r="I3226" t="s">
        <v>4357</v>
      </c>
      <c r="J3226" s="9"/>
      <c r="K3226" s="9"/>
      <c r="L3226" s="9"/>
    </row>
    <row r="3227" spans="2:12" ht="15" x14ac:dyDescent="0.25">
      <c r="B3227" t="s">
        <v>2102</v>
      </c>
      <c r="C3227" t="s">
        <v>2103</v>
      </c>
      <c r="D3227" t="str">
        <f>HYPERLINK("https://rhld.insurance.arkansas.gov/NPILookup?Npi=1831929678","1831929678")</f>
        <v>1831929678</v>
      </c>
      <c r="E3227" t="s">
        <v>3195</v>
      </c>
      <c r="F3227" t="s">
        <v>13</v>
      </c>
      <c r="G3227" s="20">
        <v>1</v>
      </c>
      <c r="H3227" t="s">
        <v>4357</v>
      </c>
      <c r="I3227" t="s">
        <v>4357</v>
      </c>
      <c r="J3227" s="9"/>
      <c r="K3227" s="9"/>
      <c r="L3227" s="9"/>
    </row>
    <row r="3228" spans="2:12" ht="15" x14ac:dyDescent="0.25">
      <c r="B3228" t="s">
        <v>2102</v>
      </c>
      <c r="C3228" t="s">
        <v>2103</v>
      </c>
      <c r="D3228" t="str">
        <f>HYPERLINK("https://rhld.insurance.arkansas.gov/NPILookup?Npi=1841027935","1841027935")</f>
        <v>1841027935</v>
      </c>
      <c r="E3228" t="s">
        <v>3196</v>
      </c>
      <c r="F3228" t="s">
        <v>13</v>
      </c>
      <c r="G3228" s="20">
        <v>1</v>
      </c>
      <c r="H3228" t="s">
        <v>4357</v>
      </c>
      <c r="I3228" t="s">
        <v>4357</v>
      </c>
      <c r="J3228" s="9"/>
      <c r="K3228" s="9"/>
      <c r="L3228" s="9"/>
    </row>
    <row r="3229" spans="2:12" ht="15" x14ac:dyDescent="0.25">
      <c r="B3229" t="s">
        <v>2102</v>
      </c>
      <c r="C3229" t="s">
        <v>2103</v>
      </c>
      <c r="D3229" t="str">
        <f>HYPERLINK("https://rhld.insurance.arkansas.gov/NPILookup?Npi=1841046091","1841046091")</f>
        <v>1841046091</v>
      </c>
      <c r="E3229" t="s">
        <v>3197</v>
      </c>
      <c r="F3229" t="s">
        <v>13</v>
      </c>
      <c r="G3229" s="20">
        <v>2</v>
      </c>
      <c r="H3229" t="s">
        <v>439</v>
      </c>
      <c r="I3229" t="s">
        <v>4357</v>
      </c>
      <c r="J3229" s="9"/>
      <c r="K3229" s="9"/>
      <c r="L3229" s="9"/>
    </row>
    <row r="3230" spans="2:12" ht="15" x14ac:dyDescent="0.25">
      <c r="B3230" t="s">
        <v>2102</v>
      </c>
      <c r="C3230" t="s">
        <v>2103</v>
      </c>
      <c r="D3230" t="str">
        <f>HYPERLINK("https://rhld.insurance.arkansas.gov/NPILookup?Npi=1841245263","1841245263")</f>
        <v>1841245263</v>
      </c>
      <c r="E3230" t="s">
        <v>3199</v>
      </c>
      <c r="F3230" t="s">
        <v>12</v>
      </c>
      <c r="G3230" s="20">
        <v>1</v>
      </c>
      <c r="H3230" t="s">
        <v>4349</v>
      </c>
      <c r="I3230" t="s">
        <v>4357</v>
      </c>
      <c r="J3230" s="9"/>
      <c r="K3230" s="9"/>
      <c r="L3230" s="9"/>
    </row>
    <row r="3231" spans="2:12" ht="15" x14ac:dyDescent="0.25">
      <c r="B3231" t="s">
        <v>2102</v>
      </c>
      <c r="C3231" t="s">
        <v>2103</v>
      </c>
      <c r="D3231" t="str">
        <f>HYPERLINK("https://rhld.insurance.arkansas.gov/NPILookup?Npi=1841250875","1841250875")</f>
        <v>1841250875</v>
      </c>
      <c r="E3231" t="s">
        <v>4615</v>
      </c>
      <c r="F3231" t="s">
        <v>12</v>
      </c>
      <c r="G3231" s="20">
        <v>1</v>
      </c>
      <c r="H3231" t="s">
        <v>4349</v>
      </c>
      <c r="I3231" t="s">
        <v>32</v>
      </c>
      <c r="J3231" s="9"/>
      <c r="K3231" s="9"/>
      <c r="L3231" s="9"/>
    </row>
    <row r="3232" spans="2:12" ht="15" x14ac:dyDescent="0.25">
      <c r="B3232" t="s">
        <v>2102</v>
      </c>
      <c r="C3232" t="s">
        <v>2103</v>
      </c>
      <c r="D3232" t="str">
        <f>HYPERLINK("https://rhld.insurance.arkansas.gov/NPILookup?Npi=1841268521","1841268521")</f>
        <v>1841268521</v>
      </c>
      <c r="E3232" t="s">
        <v>3200</v>
      </c>
      <c r="F3232" t="s">
        <v>12</v>
      </c>
      <c r="G3232" s="20">
        <v>1</v>
      </c>
      <c r="H3232" t="s">
        <v>4349</v>
      </c>
      <c r="I3232" t="s">
        <v>32</v>
      </c>
      <c r="J3232" s="9"/>
      <c r="K3232" s="9"/>
      <c r="L3232" s="9"/>
    </row>
    <row r="3233" spans="2:12" ht="15" x14ac:dyDescent="0.25">
      <c r="B3233" t="s">
        <v>2102</v>
      </c>
      <c r="C3233" t="s">
        <v>2103</v>
      </c>
      <c r="D3233" t="str">
        <f>HYPERLINK("https://rhld.insurance.arkansas.gov/NPILookup?Npi=1841269792","1841269792")</f>
        <v>1841269792</v>
      </c>
      <c r="E3233" t="s">
        <v>3201</v>
      </c>
      <c r="F3233" t="s">
        <v>12</v>
      </c>
      <c r="G3233" s="20">
        <v>1</v>
      </c>
      <c r="H3233" t="s">
        <v>4349</v>
      </c>
      <c r="I3233" t="s">
        <v>32</v>
      </c>
      <c r="J3233" s="9"/>
      <c r="K3233" s="9"/>
      <c r="L3233" s="9"/>
    </row>
    <row r="3234" spans="2:12" ht="15" x14ac:dyDescent="0.25">
      <c r="B3234" t="s">
        <v>2102</v>
      </c>
      <c r="C3234" t="s">
        <v>2103</v>
      </c>
      <c r="D3234" t="str">
        <f>HYPERLINK("https://rhld.insurance.arkansas.gov/NPILookup?Npi=1841270774","1841270774")</f>
        <v>1841270774</v>
      </c>
      <c r="E3234" t="s">
        <v>1185</v>
      </c>
      <c r="F3234" t="s">
        <v>12</v>
      </c>
      <c r="G3234" s="20">
        <v>1</v>
      </c>
      <c r="H3234" t="s">
        <v>4349</v>
      </c>
      <c r="I3234" t="s">
        <v>32</v>
      </c>
      <c r="J3234" s="9"/>
      <c r="K3234" s="9"/>
      <c r="L3234" s="9"/>
    </row>
    <row r="3235" spans="2:12" ht="15" x14ac:dyDescent="0.25">
      <c r="B3235" t="s">
        <v>2102</v>
      </c>
      <c r="C3235" t="s">
        <v>2103</v>
      </c>
      <c r="D3235" t="str">
        <f>HYPERLINK("https://rhld.insurance.arkansas.gov/NPILookup?Npi=1841369907","1841369907")</f>
        <v>1841369907</v>
      </c>
      <c r="E3235" t="s">
        <v>3203</v>
      </c>
      <c r="F3235" t="s">
        <v>12</v>
      </c>
      <c r="G3235" s="20">
        <v>1</v>
      </c>
      <c r="H3235" t="s">
        <v>4349</v>
      </c>
      <c r="I3235" t="s">
        <v>4357</v>
      </c>
      <c r="J3235" s="9"/>
      <c r="K3235" s="9"/>
      <c r="L3235" s="9"/>
    </row>
    <row r="3236" spans="2:12" ht="15" x14ac:dyDescent="0.25">
      <c r="B3236" t="s">
        <v>2102</v>
      </c>
      <c r="C3236" t="s">
        <v>2103</v>
      </c>
      <c r="D3236" t="str">
        <f>HYPERLINK("https://rhld.insurance.arkansas.gov/NPILookup?Npi=1841391315","1841391315")</f>
        <v>1841391315</v>
      </c>
      <c r="E3236" t="s">
        <v>3204</v>
      </c>
      <c r="F3236" t="s">
        <v>13</v>
      </c>
      <c r="G3236" s="20">
        <v>1</v>
      </c>
      <c r="H3236" t="s">
        <v>4357</v>
      </c>
      <c r="I3236" t="s">
        <v>4357</v>
      </c>
      <c r="J3236" s="9"/>
      <c r="K3236" s="9"/>
      <c r="L3236" s="9"/>
    </row>
    <row r="3237" spans="2:12" ht="15" x14ac:dyDescent="0.25">
      <c r="B3237" t="s">
        <v>2102</v>
      </c>
      <c r="C3237" t="s">
        <v>2103</v>
      </c>
      <c r="D3237" t="str">
        <f>HYPERLINK("https://rhld.insurance.arkansas.gov/NPILookup?Npi=1841469756","1841469756")</f>
        <v>1841469756</v>
      </c>
      <c r="E3237" t="s">
        <v>3205</v>
      </c>
      <c r="F3237" t="s">
        <v>12</v>
      </c>
      <c r="G3237" s="20">
        <v>1</v>
      </c>
      <c r="H3237" t="s">
        <v>4349</v>
      </c>
      <c r="I3237" t="s">
        <v>4357</v>
      </c>
      <c r="J3237" s="9"/>
      <c r="K3237" s="9"/>
      <c r="L3237" s="9"/>
    </row>
    <row r="3238" spans="2:12" ht="15" x14ac:dyDescent="0.25">
      <c r="B3238" t="s">
        <v>2102</v>
      </c>
      <c r="C3238" t="s">
        <v>2103</v>
      </c>
      <c r="D3238" t="str">
        <f>HYPERLINK("https://rhld.insurance.arkansas.gov/NPILookup?Npi=1841595386","1841595386")</f>
        <v>1841595386</v>
      </c>
      <c r="E3238" t="s">
        <v>1835</v>
      </c>
      <c r="F3238" t="s">
        <v>12</v>
      </c>
      <c r="G3238" s="20">
        <v>1</v>
      </c>
      <c r="H3238" t="s">
        <v>4338</v>
      </c>
      <c r="I3238" t="s">
        <v>32</v>
      </c>
      <c r="J3238" s="9"/>
      <c r="K3238" s="9"/>
      <c r="L3238" s="9"/>
    </row>
    <row r="3239" spans="2:12" ht="15" x14ac:dyDescent="0.25">
      <c r="B3239" t="s">
        <v>2102</v>
      </c>
      <c r="C3239" t="s">
        <v>2103</v>
      </c>
      <c r="D3239" t="str">
        <f>HYPERLINK("https://rhld.insurance.arkansas.gov/NPILookup?Npi=1841622008","1841622008")</f>
        <v>1841622008</v>
      </c>
      <c r="E3239" t="s">
        <v>3206</v>
      </c>
      <c r="F3239" t="s">
        <v>12</v>
      </c>
      <c r="G3239" s="20">
        <v>1</v>
      </c>
      <c r="H3239" t="s">
        <v>4349</v>
      </c>
      <c r="I3239" t="s">
        <v>4357</v>
      </c>
      <c r="J3239" s="9"/>
      <c r="K3239" s="9"/>
      <c r="L3239" s="9"/>
    </row>
    <row r="3240" spans="2:12" ht="15" x14ac:dyDescent="0.25">
      <c r="B3240" t="s">
        <v>2102</v>
      </c>
      <c r="C3240" t="s">
        <v>2103</v>
      </c>
      <c r="D3240" t="str">
        <f>HYPERLINK("https://rhld.insurance.arkansas.gov/NPILookup?Npi=1841625308","1841625308")</f>
        <v>1841625308</v>
      </c>
      <c r="E3240" t="s">
        <v>1836</v>
      </c>
      <c r="F3240" t="s">
        <v>12</v>
      </c>
      <c r="G3240" s="20">
        <v>1</v>
      </c>
      <c r="H3240" t="s">
        <v>4338</v>
      </c>
      <c r="I3240" t="s">
        <v>4357</v>
      </c>
      <c r="J3240" s="9"/>
      <c r="K3240" s="9"/>
      <c r="L3240" s="9"/>
    </row>
    <row r="3241" spans="2:12" ht="15" x14ac:dyDescent="0.25">
      <c r="B3241" t="s">
        <v>2102</v>
      </c>
      <c r="C3241" t="s">
        <v>2103</v>
      </c>
      <c r="D3241" t="str">
        <f>HYPERLINK("https://rhld.insurance.arkansas.gov/NPILookup?Npi=1841636792","1841636792")</f>
        <v>1841636792</v>
      </c>
      <c r="E3241" t="s">
        <v>3207</v>
      </c>
      <c r="F3241" t="s">
        <v>12</v>
      </c>
      <c r="G3241" s="20">
        <v>1</v>
      </c>
      <c r="H3241" t="s">
        <v>4349</v>
      </c>
      <c r="I3241" t="s">
        <v>32</v>
      </c>
      <c r="J3241" s="9"/>
      <c r="K3241" s="9"/>
      <c r="L3241" s="9"/>
    </row>
    <row r="3242" spans="2:12" ht="15" x14ac:dyDescent="0.25">
      <c r="B3242" t="s">
        <v>2102</v>
      </c>
      <c r="C3242" t="s">
        <v>2103</v>
      </c>
      <c r="D3242" t="str">
        <f>HYPERLINK("https://rhld.insurance.arkansas.gov/NPILookup?Npi=1841829405","1841829405")</f>
        <v>1841829405</v>
      </c>
      <c r="E3242" t="s">
        <v>3208</v>
      </c>
      <c r="F3242" t="s">
        <v>12</v>
      </c>
      <c r="G3242" s="20">
        <v>1</v>
      </c>
      <c r="H3242" t="s">
        <v>4338</v>
      </c>
      <c r="I3242" t="s">
        <v>32</v>
      </c>
      <c r="J3242" s="9"/>
      <c r="K3242" s="9"/>
      <c r="L3242" s="9"/>
    </row>
    <row r="3243" spans="2:12" ht="15" x14ac:dyDescent="0.25">
      <c r="B3243" t="s">
        <v>2102</v>
      </c>
      <c r="C3243" t="s">
        <v>2103</v>
      </c>
      <c r="D3243" t="str">
        <f>HYPERLINK("https://rhld.insurance.arkansas.gov/NPILookup?Npi=1841829751","1841829751")</f>
        <v>1841829751</v>
      </c>
      <c r="E3243" t="s">
        <v>3209</v>
      </c>
      <c r="F3243" t="s">
        <v>12</v>
      </c>
      <c r="G3243" s="20">
        <v>1</v>
      </c>
      <c r="H3243" t="s">
        <v>4349</v>
      </c>
      <c r="I3243" t="s">
        <v>32</v>
      </c>
      <c r="J3243" s="9"/>
      <c r="K3243" s="9"/>
      <c r="L3243" s="9"/>
    </row>
    <row r="3244" spans="2:12" ht="15" x14ac:dyDescent="0.25">
      <c r="B3244" t="s">
        <v>2102</v>
      </c>
      <c r="C3244" t="s">
        <v>2103</v>
      </c>
      <c r="D3244" t="str">
        <f>HYPERLINK("https://rhld.insurance.arkansas.gov/NPILookup?Npi=1841911831","1841911831")</f>
        <v>1841911831</v>
      </c>
      <c r="E3244" t="s">
        <v>3210</v>
      </c>
      <c r="F3244" t="s">
        <v>12</v>
      </c>
      <c r="G3244" s="20">
        <v>1</v>
      </c>
      <c r="H3244" t="s">
        <v>4338</v>
      </c>
      <c r="I3244" t="s">
        <v>32</v>
      </c>
      <c r="J3244" s="9"/>
      <c r="K3244" s="9"/>
      <c r="L3244" s="9"/>
    </row>
    <row r="3245" spans="2:12" ht="15" x14ac:dyDescent="0.25">
      <c r="B3245" t="s">
        <v>2102</v>
      </c>
      <c r="C3245" t="s">
        <v>2103</v>
      </c>
      <c r="D3245" t="str">
        <f>HYPERLINK("https://rhld.insurance.arkansas.gov/NPILookup?Npi=1841922937","1841922937")</f>
        <v>1841922937</v>
      </c>
      <c r="E3245" t="s">
        <v>3211</v>
      </c>
      <c r="F3245" t="s">
        <v>13</v>
      </c>
      <c r="G3245" s="20">
        <v>1</v>
      </c>
      <c r="H3245" t="s">
        <v>4357</v>
      </c>
      <c r="I3245" t="s">
        <v>4357</v>
      </c>
      <c r="J3245" s="9"/>
      <c r="K3245" s="9"/>
      <c r="L3245" s="9"/>
    </row>
    <row r="3246" spans="2:12" ht="15" x14ac:dyDescent="0.25">
      <c r="B3246" t="s">
        <v>2102</v>
      </c>
      <c r="C3246" t="s">
        <v>2103</v>
      </c>
      <c r="D3246" t="str">
        <f>HYPERLINK("https://rhld.insurance.arkansas.gov/NPILookup?Npi=1851102727","1851102727")</f>
        <v>1851102727</v>
      </c>
      <c r="E3246" t="s">
        <v>3213</v>
      </c>
      <c r="F3246" t="s">
        <v>13</v>
      </c>
      <c r="G3246" s="20">
        <v>1</v>
      </c>
      <c r="H3246" t="s">
        <v>4357</v>
      </c>
      <c r="I3246" t="s">
        <v>4357</v>
      </c>
      <c r="J3246" s="9"/>
      <c r="K3246" s="9"/>
      <c r="L3246" s="9"/>
    </row>
    <row r="3247" spans="2:12" ht="15" x14ac:dyDescent="0.25">
      <c r="B3247" t="s">
        <v>2102</v>
      </c>
      <c r="C3247" t="s">
        <v>2103</v>
      </c>
      <c r="D3247" t="str">
        <f>HYPERLINK("https://rhld.insurance.arkansas.gov/NPILookup?Npi=1851387930","1851387930")</f>
        <v>1851387930</v>
      </c>
      <c r="E3247" t="s">
        <v>865</v>
      </c>
      <c r="F3247" t="s">
        <v>12</v>
      </c>
      <c r="G3247" s="20">
        <v>1</v>
      </c>
      <c r="H3247" t="s">
        <v>4338</v>
      </c>
      <c r="I3247" t="s">
        <v>32</v>
      </c>
      <c r="J3247" s="9"/>
      <c r="K3247" s="9"/>
      <c r="L3247" s="9"/>
    </row>
    <row r="3248" spans="2:12" ht="15" x14ac:dyDescent="0.25">
      <c r="B3248" t="s">
        <v>2102</v>
      </c>
      <c r="C3248" t="s">
        <v>2103</v>
      </c>
      <c r="D3248" t="str">
        <f>HYPERLINK("https://rhld.insurance.arkansas.gov/NPILookup?Npi=1851574198","1851574198")</f>
        <v>1851574198</v>
      </c>
      <c r="E3248" t="s">
        <v>869</v>
      </c>
      <c r="F3248" t="s">
        <v>12</v>
      </c>
      <c r="G3248" s="20">
        <v>1</v>
      </c>
      <c r="H3248" t="s">
        <v>4338</v>
      </c>
      <c r="I3248" t="s">
        <v>4357</v>
      </c>
      <c r="J3248" s="9"/>
      <c r="K3248" s="9"/>
      <c r="L3248" s="9"/>
    </row>
    <row r="3249" spans="2:12" ht="15" x14ac:dyDescent="0.25">
      <c r="B3249" t="s">
        <v>2102</v>
      </c>
      <c r="C3249" t="s">
        <v>2103</v>
      </c>
      <c r="D3249" t="str">
        <f>HYPERLINK("https://rhld.insurance.arkansas.gov/NPILookup?Npi=1851681860","1851681860")</f>
        <v>1851681860</v>
      </c>
      <c r="E3249" t="s">
        <v>3215</v>
      </c>
      <c r="F3249" t="s">
        <v>12</v>
      </c>
      <c r="G3249" s="20">
        <v>1</v>
      </c>
      <c r="H3249" t="s">
        <v>4349</v>
      </c>
      <c r="I3249" t="s">
        <v>32</v>
      </c>
      <c r="J3249" s="9"/>
      <c r="K3249" s="9"/>
      <c r="L3249" s="9"/>
    </row>
    <row r="3250" spans="2:12" ht="15" x14ac:dyDescent="0.25">
      <c r="B3250" t="s">
        <v>2102</v>
      </c>
      <c r="C3250" t="s">
        <v>2103</v>
      </c>
      <c r="D3250" t="str">
        <f>HYPERLINK("https://rhld.insurance.arkansas.gov/NPILookup?Npi=1851707160","1851707160")</f>
        <v>1851707160</v>
      </c>
      <c r="E3250" t="s">
        <v>3216</v>
      </c>
      <c r="F3250" t="s">
        <v>12</v>
      </c>
      <c r="G3250" s="20">
        <v>1</v>
      </c>
      <c r="H3250" t="s">
        <v>4349</v>
      </c>
      <c r="I3250" t="s">
        <v>4357</v>
      </c>
      <c r="J3250" s="9"/>
      <c r="K3250" s="9"/>
      <c r="L3250" s="9"/>
    </row>
    <row r="3251" spans="2:12" ht="15" x14ac:dyDescent="0.25">
      <c r="B3251" t="s">
        <v>2102</v>
      </c>
      <c r="C3251" t="s">
        <v>2103</v>
      </c>
      <c r="D3251" t="str">
        <f>HYPERLINK("https://rhld.insurance.arkansas.gov/NPILookup?Npi=1851742084","1851742084")</f>
        <v>1851742084</v>
      </c>
      <c r="E3251" t="s">
        <v>3217</v>
      </c>
      <c r="F3251" t="s">
        <v>12</v>
      </c>
      <c r="G3251" s="20">
        <v>1</v>
      </c>
      <c r="H3251" t="s">
        <v>4349</v>
      </c>
      <c r="I3251" t="s">
        <v>32</v>
      </c>
      <c r="J3251" s="9"/>
      <c r="K3251" s="9"/>
      <c r="L3251" s="9"/>
    </row>
    <row r="3252" spans="2:12" ht="15" x14ac:dyDescent="0.25">
      <c r="B3252" t="s">
        <v>2102</v>
      </c>
      <c r="C3252" t="s">
        <v>2103</v>
      </c>
      <c r="D3252" t="str">
        <f>HYPERLINK("https://rhld.insurance.arkansas.gov/NPILookup?Npi=1851822902","1851822902")</f>
        <v>1851822902</v>
      </c>
      <c r="E3252" t="s">
        <v>3218</v>
      </c>
      <c r="F3252" t="s">
        <v>12</v>
      </c>
      <c r="G3252" s="20">
        <v>1</v>
      </c>
      <c r="H3252" t="s">
        <v>4349</v>
      </c>
      <c r="I3252" t="s">
        <v>4357</v>
      </c>
      <c r="J3252" s="9"/>
      <c r="K3252" s="9"/>
      <c r="L3252" s="9"/>
    </row>
    <row r="3253" spans="2:12" ht="15" x14ac:dyDescent="0.25">
      <c r="B3253" t="s">
        <v>2102</v>
      </c>
      <c r="C3253" t="s">
        <v>2103</v>
      </c>
      <c r="D3253" t="str">
        <f>HYPERLINK("https://rhld.insurance.arkansas.gov/NPILookup?Npi=1851893697","1851893697")</f>
        <v>1851893697</v>
      </c>
      <c r="E3253" t="s">
        <v>3219</v>
      </c>
      <c r="F3253" t="s">
        <v>12</v>
      </c>
      <c r="G3253" s="20">
        <v>1</v>
      </c>
      <c r="H3253" t="s">
        <v>4349</v>
      </c>
      <c r="I3253" t="s">
        <v>32</v>
      </c>
      <c r="J3253" s="9"/>
      <c r="K3253" s="9"/>
      <c r="L3253" s="9"/>
    </row>
    <row r="3254" spans="2:12" ht="15" x14ac:dyDescent="0.25">
      <c r="B3254" t="s">
        <v>2102</v>
      </c>
      <c r="C3254" t="s">
        <v>2103</v>
      </c>
      <c r="D3254" t="str">
        <f>HYPERLINK("https://rhld.insurance.arkansas.gov/NPILookup?Npi=1851919245","1851919245")</f>
        <v>1851919245</v>
      </c>
      <c r="E3254" t="s">
        <v>3220</v>
      </c>
      <c r="F3254" t="s">
        <v>12</v>
      </c>
      <c r="G3254" s="20">
        <v>1</v>
      </c>
      <c r="H3254" t="s">
        <v>4349</v>
      </c>
      <c r="I3254" t="s">
        <v>32</v>
      </c>
      <c r="J3254" s="9"/>
      <c r="K3254" s="9"/>
      <c r="L3254" s="9"/>
    </row>
    <row r="3255" spans="2:12" ht="15" x14ac:dyDescent="0.25">
      <c r="B3255" t="s">
        <v>2102</v>
      </c>
      <c r="C3255" t="s">
        <v>2103</v>
      </c>
      <c r="D3255" t="str">
        <f>HYPERLINK("https://rhld.insurance.arkansas.gov/NPILookup?Npi=1851977227","1851977227")</f>
        <v>1851977227</v>
      </c>
      <c r="E3255" t="s">
        <v>3221</v>
      </c>
      <c r="F3255" t="s">
        <v>13</v>
      </c>
      <c r="G3255" s="20">
        <v>1</v>
      </c>
      <c r="H3255" t="s">
        <v>4357</v>
      </c>
      <c r="I3255" t="s">
        <v>4357</v>
      </c>
      <c r="J3255" s="9"/>
      <c r="K3255" s="9"/>
      <c r="L3255" s="9"/>
    </row>
    <row r="3256" spans="2:12" ht="15" x14ac:dyDescent="0.25">
      <c r="B3256" t="s">
        <v>2102</v>
      </c>
      <c r="C3256" t="s">
        <v>2103</v>
      </c>
      <c r="D3256" t="str">
        <f>HYPERLINK("https://rhld.insurance.arkansas.gov/NPILookup?Npi=1861021636","1861021636")</f>
        <v>1861021636</v>
      </c>
      <c r="E3256" t="s">
        <v>871</v>
      </c>
      <c r="F3256" t="s">
        <v>12</v>
      </c>
      <c r="G3256" s="20">
        <v>1</v>
      </c>
      <c r="H3256" t="s">
        <v>139</v>
      </c>
      <c r="I3256" t="s">
        <v>4357</v>
      </c>
      <c r="J3256" s="9"/>
      <c r="K3256" s="9"/>
      <c r="L3256" s="9"/>
    </row>
    <row r="3257" spans="2:12" ht="15" x14ac:dyDescent="0.25">
      <c r="B3257" t="s">
        <v>2102</v>
      </c>
      <c r="C3257" t="s">
        <v>2103</v>
      </c>
      <c r="D3257" t="str">
        <f>HYPERLINK("https://rhld.insurance.arkansas.gov/NPILookup?Npi=1861186181","1861186181")</f>
        <v>1861186181</v>
      </c>
      <c r="E3257" t="s">
        <v>3222</v>
      </c>
      <c r="F3257" t="s">
        <v>12</v>
      </c>
      <c r="G3257" s="20">
        <v>1</v>
      </c>
      <c r="H3257" t="s">
        <v>4338</v>
      </c>
      <c r="I3257" t="s">
        <v>32</v>
      </c>
      <c r="J3257" s="9"/>
      <c r="K3257" s="9"/>
      <c r="L3257" s="9"/>
    </row>
    <row r="3258" spans="2:12" ht="15" x14ac:dyDescent="0.25">
      <c r="B3258" t="s">
        <v>2102</v>
      </c>
      <c r="C3258" t="s">
        <v>2103</v>
      </c>
      <c r="D3258" t="str">
        <f>HYPERLINK("https://rhld.insurance.arkansas.gov/NPILookup?Npi=1861239279","1861239279")</f>
        <v>1861239279</v>
      </c>
      <c r="E3258" t="s">
        <v>3223</v>
      </c>
      <c r="F3258" t="s">
        <v>13</v>
      </c>
      <c r="G3258" s="20">
        <v>1</v>
      </c>
      <c r="H3258" t="s">
        <v>4357</v>
      </c>
      <c r="I3258" t="s">
        <v>4357</v>
      </c>
      <c r="J3258" s="9"/>
      <c r="K3258" s="9"/>
      <c r="L3258" s="9"/>
    </row>
    <row r="3259" spans="2:12" ht="15" x14ac:dyDescent="0.25">
      <c r="B3259" t="s">
        <v>2102</v>
      </c>
      <c r="C3259" t="s">
        <v>2103</v>
      </c>
      <c r="D3259" t="str">
        <f>HYPERLINK("https://rhld.insurance.arkansas.gov/NPILookup?Npi=1861458069","1861458069")</f>
        <v>1861458069</v>
      </c>
      <c r="E3259" t="s">
        <v>873</v>
      </c>
      <c r="F3259" t="s">
        <v>12</v>
      </c>
      <c r="G3259" s="20">
        <v>1</v>
      </c>
      <c r="H3259" t="s">
        <v>139</v>
      </c>
      <c r="I3259" t="s">
        <v>32</v>
      </c>
      <c r="J3259" s="9"/>
      <c r="K3259" s="9"/>
      <c r="L3259" s="9"/>
    </row>
    <row r="3260" spans="2:12" ht="15" x14ac:dyDescent="0.25">
      <c r="B3260" t="s">
        <v>2102</v>
      </c>
      <c r="C3260" t="s">
        <v>2103</v>
      </c>
      <c r="D3260" t="str">
        <f>HYPERLINK("https://rhld.insurance.arkansas.gov/NPILookup?Npi=1861491854","1861491854")</f>
        <v>1861491854</v>
      </c>
      <c r="E3260" t="s">
        <v>3224</v>
      </c>
      <c r="F3260" t="s">
        <v>12</v>
      </c>
      <c r="G3260" s="20">
        <v>1</v>
      </c>
      <c r="H3260" t="s">
        <v>4349</v>
      </c>
      <c r="I3260" t="s">
        <v>4357</v>
      </c>
      <c r="J3260" s="9"/>
      <c r="K3260" s="9"/>
      <c r="L3260" s="9"/>
    </row>
    <row r="3261" spans="2:12" ht="15" x14ac:dyDescent="0.25">
      <c r="B3261" t="s">
        <v>2102</v>
      </c>
      <c r="C3261" t="s">
        <v>2103</v>
      </c>
      <c r="D3261" t="str">
        <f>HYPERLINK("https://rhld.insurance.arkansas.gov/NPILookup?Npi=1861497349","1861497349")</f>
        <v>1861497349</v>
      </c>
      <c r="E3261" t="s">
        <v>4616</v>
      </c>
      <c r="F3261" t="s">
        <v>12</v>
      </c>
      <c r="G3261" s="20">
        <v>1</v>
      </c>
      <c r="H3261" t="s">
        <v>4349</v>
      </c>
      <c r="I3261" t="s">
        <v>32</v>
      </c>
      <c r="J3261" s="9"/>
      <c r="K3261" s="9"/>
      <c r="L3261" s="9"/>
    </row>
    <row r="3262" spans="2:12" ht="15" x14ac:dyDescent="0.25">
      <c r="B3262" t="s">
        <v>2102</v>
      </c>
      <c r="C3262" t="s">
        <v>2103</v>
      </c>
      <c r="D3262" t="str">
        <f>HYPERLINK("https://rhld.insurance.arkansas.gov/NPILookup?Npi=1861684060","1861684060")</f>
        <v>1861684060</v>
      </c>
      <c r="E3262" t="s">
        <v>1842</v>
      </c>
      <c r="F3262" t="s">
        <v>12</v>
      </c>
      <c r="G3262" s="20">
        <v>1</v>
      </c>
      <c r="H3262" t="s">
        <v>4338</v>
      </c>
      <c r="I3262" t="s">
        <v>32</v>
      </c>
      <c r="J3262" s="9"/>
      <c r="K3262" s="9"/>
      <c r="L3262" s="9"/>
    </row>
    <row r="3263" spans="2:12" ht="15" x14ac:dyDescent="0.25">
      <c r="B3263" t="s">
        <v>2102</v>
      </c>
      <c r="C3263" t="s">
        <v>2103</v>
      </c>
      <c r="D3263" t="str">
        <f>HYPERLINK("https://rhld.insurance.arkansas.gov/NPILookup?Npi=1861772634","1861772634")</f>
        <v>1861772634</v>
      </c>
      <c r="E3263" t="s">
        <v>1843</v>
      </c>
      <c r="F3263" t="s">
        <v>12</v>
      </c>
      <c r="G3263" s="20">
        <v>1</v>
      </c>
      <c r="H3263" t="s">
        <v>4338</v>
      </c>
      <c r="I3263" t="s">
        <v>32</v>
      </c>
      <c r="J3263" s="9"/>
      <c r="K3263" s="9"/>
      <c r="L3263" s="9"/>
    </row>
    <row r="3264" spans="2:12" ht="15" x14ac:dyDescent="0.25">
      <c r="B3264" t="s">
        <v>2102</v>
      </c>
      <c r="C3264" t="s">
        <v>2103</v>
      </c>
      <c r="D3264" t="str">
        <f>HYPERLINK("https://rhld.insurance.arkansas.gov/NPILookup?Npi=1861835670","1861835670")</f>
        <v>1861835670</v>
      </c>
      <c r="E3264" t="s">
        <v>876</v>
      </c>
      <c r="F3264" t="s">
        <v>12</v>
      </c>
      <c r="G3264" s="20">
        <v>1</v>
      </c>
      <c r="H3264" t="s">
        <v>4349</v>
      </c>
      <c r="I3264" t="s">
        <v>32</v>
      </c>
      <c r="J3264" s="9"/>
      <c r="K3264" s="9"/>
      <c r="L3264" s="9"/>
    </row>
    <row r="3265" spans="2:12" ht="15" x14ac:dyDescent="0.25">
      <c r="B3265" t="s">
        <v>2102</v>
      </c>
      <c r="C3265" t="s">
        <v>2103</v>
      </c>
      <c r="D3265" t="str">
        <f>HYPERLINK("https://rhld.insurance.arkansas.gov/NPILookup?Npi=1861864209","1861864209")</f>
        <v>1861864209</v>
      </c>
      <c r="E3265" t="s">
        <v>3226</v>
      </c>
      <c r="F3265" t="s">
        <v>13</v>
      </c>
      <c r="G3265" s="20">
        <v>1</v>
      </c>
      <c r="H3265" t="s">
        <v>87</v>
      </c>
      <c r="I3265" t="s">
        <v>32</v>
      </c>
      <c r="J3265" s="9"/>
      <c r="K3265" s="9"/>
      <c r="L3265" s="9"/>
    </row>
    <row r="3266" spans="2:12" ht="15" x14ac:dyDescent="0.25">
      <c r="B3266" t="s">
        <v>2102</v>
      </c>
      <c r="C3266" t="s">
        <v>2103</v>
      </c>
      <c r="D3266" t="str">
        <f>HYPERLINK("https://rhld.insurance.arkansas.gov/NPILookup?Npi=1861911091","1861911091")</f>
        <v>1861911091</v>
      </c>
      <c r="E3266" t="s">
        <v>3228</v>
      </c>
      <c r="F3266" t="s">
        <v>12</v>
      </c>
      <c r="G3266" s="20">
        <v>1</v>
      </c>
      <c r="H3266" t="s">
        <v>4338</v>
      </c>
      <c r="I3266" t="s">
        <v>32</v>
      </c>
      <c r="J3266" s="9"/>
      <c r="K3266" s="9"/>
      <c r="L3266" s="9"/>
    </row>
    <row r="3267" spans="2:12" ht="15" x14ac:dyDescent="0.25">
      <c r="B3267" t="s">
        <v>2102</v>
      </c>
      <c r="C3267" t="s">
        <v>2103</v>
      </c>
      <c r="D3267" t="str">
        <f>HYPERLINK("https://rhld.insurance.arkansas.gov/NPILookup?Npi=1871059709","1871059709")</f>
        <v>1871059709</v>
      </c>
      <c r="E3267" t="s">
        <v>3229</v>
      </c>
      <c r="F3267" t="s">
        <v>13</v>
      </c>
      <c r="G3267" s="20">
        <v>2</v>
      </c>
      <c r="H3267" t="s">
        <v>439</v>
      </c>
      <c r="I3267" t="s">
        <v>4357</v>
      </c>
      <c r="J3267" s="9"/>
      <c r="K3267" s="9"/>
      <c r="L3267" s="9"/>
    </row>
    <row r="3268" spans="2:12" ht="15" x14ac:dyDescent="0.25">
      <c r="B3268" t="s">
        <v>2102</v>
      </c>
      <c r="C3268" t="s">
        <v>2103</v>
      </c>
      <c r="D3268" t="str">
        <f>HYPERLINK("https://rhld.insurance.arkansas.gov/NPILookup?Npi=1871073577","1871073577")</f>
        <v>1871073577</v>
      </c>
      <c r="E3268" t="s">
        <v>3230</v>
      </c>
      <c r="F3268" t="s">
        <v>12</v>
      </c>
      <c r="G3268" s="20">
        <v>1</v>
      </c>
      <c r="H3268" t="s">
        <v>4338</v>
      </c>
      <c r="I3268" t="s">
        <v>32</v>
      </c>
      <c r="J3268" s="9"/>
      <c r="K3268" s="9"/>
      <c r="L3268" s="9"/>
    </row>
    <row r="3269" spans="2:12" ht="15" x14ac:dyDescent="0.25">
      <c r="B3269" t="s">
        <v>2102</v>
      </c>
      <c r="C3269" t="s">
        <v>2103</v>
      </c>
      <c r="D3269" t="str">
        <f>HYPERLINK("https://rhld.insurance.arkansas.gov/NPILookup?Npi=1871123968","1871123968")</f>
        <v>1871123968</v>
      </c>
      <c r="E3269" t="s">
        <v>2096</v>
      </c>
      <c r="F3269" t="s">
        <v>13</v>
      </c>
      <c r="G3269" s="20">
        <v>1</v>
      </c>
      <c r="H3269" t="s">
        <v>4357</v>
      </c>
      <c r="I3269" t="s">
        <v>4357</v>
      </c>
      <c r="J3269" s="9"/>
      <c r="K3269" s="9"/>
      <c r="L3269" s="9"/>
    </row>
    <row r="3270" spans="2:12" ht="15" x14ac:dyDescent="0.25">
      <c r="B3270" t="s">
        <v>2102</v>
      </c>
      <c r="C3270" t="s">
        <v>2103</v>
      </c>
      <c r="D3270" t="str">
        <f>HYPERLINK("https://rhld.insurance.arkansas.gov/NPILookup?Npi=1871162206","1871162206")</f>
        <v>1871162206</v>
      </c>
      <c r="E3270" t="s">
        <v>1844</v>
      </c>
      <c r="F3270" t="s">
        <v>12</v>
      </c>
      <c r="G3270" s="20">
        <v>1</v>
      </c>
      <c r="H3270" t="s">
        <v>4338</v>
      </c>
      <c r="I3270" t="s">
        <v>32</v>
      </c>
      <c r="J3270" s="9"/>
      <c r="K3270" s="9"/>
      <c r="L3270" s="9"/>
    </row>
    <row r="3271" spans="2:12" ht="15" x14ac:dyDescent="0.25">
      <c r="B3271" t="s">
        <v>2102</v>
      </c>
      <c r="C3271" t="s">
        <v>2103</v>
      </c>
      <c r="D3271" t="str">
        <f>HYPERLINK("https://rhld.insurance.arkansas.gov/NPILookup?Npi=1871185066","1871185066")</f>
        <v>1871185066</v>
      </c>
      <c r="E3271" t="s">
        <v>3231</v>
      </c>
      <c r="F3271" t="s">
        <v>12</v>
      </c>
      <c r="G3271" s="20">
        <v>1</v>
      </c>
      <c r="H3271" t="s">
        <v>4338</v>
      </c>
      <c r="I3271" t="s">
        <v>32</v>
      </c>
      <c r="J3271" s="9"/>
      <c r="K3271" s="9"/>
      <c r="L3271" s="9"/>
    </row>
    <row r="3272" spans="2:12" ht="15" x14ac:dyDescent="0.25">
      <c r="B3272" t="s">
        <v>2102</v>
      </c>
      <c r="C3272" t="s">
        <v>2103</v>
      </c>
      <c r="D3272" t="str">
        <f>HYPERLINK("https://rhld.insurance.arkansas.gov/NPILookup?Npi=1871255679","1871255679")</f>
        <v>1871255679</v>
      </c>
      <c r="E3272" t="s">
        <v>3233</v>
      </c>
      <c r="F3272" t="s">
        <v>13</v>
      </c>
      <c r="G3272" s="20">
        <v>1</v>
      </c>
      <c r="H3272" t="s">
        <v>87</v>
      </c>
      <c r="I3272" t="s">
        <v>32</v>
      </c>
      <c r="J3272" s="9"/>
      <c r="K3272" s="9"/>
      <c r="L3272" s="9"/>
    </row>
    <row r="3273" spans="2:12" ht="15" x14ac:dyDescent="0.25">
      <c r="B3273" t="s">
        <v>2102</v>
      </c>
      <c r="C3273" t="s">
        <v>2103</v>
      </c>
      <c r="D3273" t="str">
        <f>HYPERLINK("https://rhld.insurance.arkansas.gov/NPILookup?Npi=1871306787","1871306787")</f>
        <v>1871306787</v>
      </c>
      <c r="E3273" t="s">
        <v>3235</v>
      </c>
      <c r="F3273" t="s">
        <v>13</v>
      </c>
      <c r="G3273" s="20">
        <v>1</v>
      </c>
      <c r="H3273" t="s">
        <v>4357</v>
      </c>
      <c r="I3273" t="s">
        <v>4357</v>
      </c>
      <c r="J3273" s="9"/>
      <c r="K3273" s="9"/>
      <c r="L3273" s="9"/>
    </row>
    <row r="3274" spans="2:12" ht="15" x14ac:dyDescent="0.25">
      <c r="B3274" t="s">
        <v>2102</v>
      </c>
      <c r="C3274" t="s">
        <v>2103</v>
      </c>
      <c r="D3274" t="str">
        <f>HYPERLINK("https://rhld.insurance.arkansas.gov/NPILookup?Npi=1871583229","1871583229")</f>
        <v>1871583229</v>
      </c>
      <c r="E3274" t="s">
        <v>3236</v>
      </c>
      <c r="F3274" t="s">
        <v>12</v>
      </c>
      <c r="G3274" s="20">
        <v>1</v>
      </c>
      <c r="H3274" t="s">
        <v>4338</v>
      </c>
      <c r="I3274" t="s">
        <v>32</v>
      </c>
      <c r="J3274" s="9"/>
      <c r="K3274" s="9"/>
      <c r="L3274" s="9"/>
    </row>
    <row r="3275" spans="2:12" ht="15" x14ac:dyDescent="0.25">
      <c r="B3275" t="s">
        <v>2102</v>
      </c>
      <c r="C3275" t="s">
        <v>2103</v>
      </c>
      <c r="D3275" t="str">
        <f>HYPERLINK("https://rhld.insurance.arkansas.gov/NPILookup?Npi=1871717033","1871717033")</f>
        <v>1871717033</v>
      </c>
      <c r="E3275" t="s">
        <v>3238</v>
      </c>
      <c r="F3275" t="s">
        <v>12</v>
      </c>
      <c r="G3275" s="20">
        <v>1</v>
      </c>
      <c r="H3275" t="s">
        <v>4338</v>
      </c>
      <c r="I3275" t="s">
        <v>32</v>
      </c>
      <c r="J3275" s="9"/>
      <c r="K3275" s="9"/>
      <c r="L3275" s="9"/>
    </row>
    <row r="3276" spans="2:12" ht="15" x14ac:dyDescent="0.25">
      <c r="B3276" t="s">
        <v>2102</v>
      </c>
      <c r="C3276" t="s">
        <v>2103</v>
      </c>
      <c r="D3276" t="str">
        <f>HYPERLINK("https://rhld.insurance.arkansas.gov/NPILookup?Npi=1871807883","1871807883")</f>
        <v>1871807883</v>
      </c>
      <c r="E3276" t="s">
        <v>4617</v>
      </c>
      <c r="F3276" t="s">
        <v>12</v>
      </c>
      <c r="G3276" s="20">
        <v>1</v>
      </c>
      <c r="H3276" t="s">
        <v>4349</v>
      </c>
      <c r="I3276" t="s">
        <v>32</v>
      </c>
      <c r="J3276" s="9"/>
      <c r="K3276" s="9"/>
      <c r="L3276" s="9"/>
    </row>
    <row r="3277" spans="2:12" ht="15" x14ac:dyDescent="0.25">
      <c r="B3277" t="s">
        <v>2102</v>
      </c>
      <c r="C3277" t="s">
        <v>2103</v>
      </c>
      <c r="D3277" t="str">
        <f>HYPERLINK("https://rhld.insurance.arkansas.gov/NPILookup?Npi=1871826958","1871826958")</f>
        <v>1871826958</v>
      </c>
      <c r="E3277" t="s">
        <v>3239</v>
      </c>
      <c r="F3277" t="s">
        <v>13</v>
      </c>
      <c r="G3277" s="20">
        <v>1</v>
      </c>
      <c r="H3277" t="s">
        <v>87</v>
      </c>
      <c r="I3277" t="s">
        <v>32</v>
      </c>
      <c r="J3277" s="9"/>
      <c r="K3277" s="9"/>
      <c r="L3277" s="9"/>
    </row>
    <row r="3278" spans="2:12" ht="15" x14ac:dyDescent="0.25">
      <c r="B3278" t="s">
        <v>2102</v>
      </c>
      <c r="C3278" t="s">
        <v>2103</v>
      </c>
      <c r="D3278" t="str">
        <f>HYPERLINK("https://rhld.insurance.arkansas.gov/NPILookup?Npi=1871883462","1871883462")</f>
        <v>1871883462</v>
      </c>
      <c r="E3278" t="s">
        <v>3240</v>
      </c>
      <c r="F3278" t="s">
        <v>12</v>
      </c>
      <c r="G3278" s="20">
        <v>1</v>
      </c>
      <c r="H3278" t="s">
        <v>4349</v>
      </c>
      <c r="I3278" t="s">
        <v>4357</v>
      </c>
      <c r="J3278" s="9"/>
      <c r="K3278" s="9"/>
      <c r="L3278" s="9"/>
    </row>
    <row r="3279" spans="2:12" ht="15" x14ac:dyDescent="0.25">
      <c r="B3279" t="s">
        <v>2102</v>
      </c>
      <c r="C3279" t="s">
        <v>2103</v>
      </c>
      <c r="D3279" t="str">
        <f>HYPERLINK("https://rhld.insurance.arkansas.gov/NPILookup?Npi=1871978676","1871978676")</f>
        <v>1871978676</v>
      </c>
      <c r="E3279" t="s">
        <v>4618</v>
      </c>
      <c r="F3279" t="s">
        <v>12</v>
      </c>
      <c r="G3279" s="20">
        <v>1</v>
      </c>
      <c r="H3279" t="s">
        <v>4349</v>
      </c>
      <c r="I3279" t="s">
        <v>32</v>
      </c>
      <c r="J3279" s="9"/>
      <c r="K3279" s="9"/>
      <c r="L3279" s="9"/>
    </row>
    <row r="3280" spans="2:12" ht="15" x14ac:dyDescent="0.25">
      <c r="B3280" t="s">
        <v>2102</v>
      </c>
      <c r="C3280" t="s">
        <v>2103</v>
      </c>
      <c r="D3280" t="str">
        <f>HYPERLINK("https://rhld.insurance.arkansas.gov/NPILookup?Npi=1871986315","1871986315")</f>
        <v>1871986315</v>
      </c>
      <c r="E3280" t="s">
        <v>3241</v>
      </c>
      <c r="F3280" t="s">
        <v>13</v>
      </c>
      <c r="G3280" s="20">
        <v>1</v>
      </c>
      <c r="H3280" t="s">
        <v>87</v>
      </c>
      <c r="I3280" t="s">
        <v>4357</v>
      </c>
      <c r="J3280" s="9"/>
      <c r="K3280" s="9"/>
      <c r="L3280" s="9"/>
    </row>
    <row r="3281" spans="2:12" ht="15" x14ac:dyDescent="0.25">
      <c r="B3281" t="s">
        <v>2102</v>
      </c>
      <c r="C3281" t="s">
        <v>2103</v>
      </c>
      <c r="D3281" t="str">
        <f>HYPERLINK("https://rhld.insurance.arkansas.gov/NPILookup?Npi=1871989939","1871989939")</f>
        <v>1871989939</v>
      </c>
      <c r="E3281" t="s">
        <v>3242</v>
      </c>
      <c r="F3281" t="s">
        <v>12</v>
      </c>
      <c r="G3281" s="20">
        <v>1</v>
      </c>
      <c r="H3281" t="s">
        <v>4349</v>
      </c>
      <c r="I3281" t="s">
        <v>32</v>
      </c>
      <c r="J3281" s="9"/>
      <c r="K3281" s="9"/>
      <c r="L3281" s="9"/>
    </row>
    <row r="3282" spans="2:12" ht="15" x14ac:dyDescent="0.25">
      <c r="B3282" t="s">
        <v>2102</v>
      </c>
      <c r="C3282" t="s">
        <v>2103</v>
      </c>
      <c r="D3282" t="str">
        <f>HYPERLINK("https://rhld.insurance.arkansas.gov/NPILookup?Npi=1881071264","1881071264")</f>
        <v>1881071264</v>
      </c>
      <c r="E3282" t="s">
        <v>3243</v>
      </c>
      <c r="F3282" t="s">
        <v>12</v>
      </c>
      <c r="G3282" s="20">
        <v>1</v>
      </c>
      <c r="H3282" t="s">
        <v>4349</v>
      </c>
      <c r="I3282" t="s">
        <v>4357</v>
      </c>
      <c r="J3282" s="9"/>
      <c r="K3282" s="9"/>
      <c r="L3282" s="9"/>
    </row>
    <row r="3283" spans="2:12" ht="15" x14ac:dyDescent="0.25">
      <c r="B3283" t="s">
        <v>2102</v>
      </c>
      <c r="C3283" t="s">
        <v>2103</v>
      </c>
      <c r="D3283" t="str">
        <f>HYPERLINK("https://rhld.insurance.arkansas.gov/NPILookup?Npi=1881073625","1881073625")</f>
        <v>1881073625</v>
      </c>
      <c r="E3283" t="s">
        <v>3244</v>
      </c>
      <c r="F3283" t="s">
        <v>12</v>
      </c>
      <c r="G3283" s="20">
        <v>1</v>
      </c>
      <c r="H3283" t="s">
        <v>4349</v>
      </c>
      <c r="I3283" t="s">
        <v>4357</v>
      </c>
      <c r="J3283" s="9"/>
      <c r="K3283" s="9"/>
      <c r="L3283" s="9"/>
    </row>
    <row r="3284" spans="2:12" ht="15" x14ac:dyDescent="0.25">
      <c r="B3284" t="s">
        <v>2102</v>
      </c>
      <c r="C3284" t="s">
        <v>2103</v>
      </c>
      <c r="D3284" t="str">
        <f>HYPERLINK("https://rhld.insurance.arkansas.gov/NPILookup?Npi=1881093482","1881093482")</f>
        <v>1881093482</v>
      </c>
      <c r="E3284" t="s">
        <v>3245</v>
      </c>
      <c r="F3284" t="s">
        <v>12</v>
      </c>
      <c r="G3284" s="20">
        <v>1</v>
      </c>
      <c r="H3284" t="s">
        <v>4349</v>
      </c>
      <c r="I3284" t="s">
        <v>4357</v>
      </c>
      <c r="J3284" s="9"/>
      <c r="K3284" s="9"/>
      <c r="L3284" s="9"/>
    </row>
    <row r="3285" spans="2:12" ht="15" x14ac:dyDescent="0.25">
      <c r="B3285" t="s">
        <v>2102</v>
      </c>
      <c r="C3285" t="s">
        <v>2103</v>
      </c>
      <c r="D3285" t="str">
        <f>HYPERLINK("https://rhld.insurance.arkansas.gov/NPILookup?Npi=1881301968","1881301968")</f>
        <v>1881301968</v>
      </c>
      <c r="E3285" t="s">
        <v>3246</v>
      </c>
      <c r="F3285" t="s">
        <v>13</v>
      </c>
      <c r="G3285" s="20">
        <v>1</v>
      </c>
      <c r="H3285" t="s">
        <v>4357</v>
      </c>
      <c r="I3285" t="s">
        <v>4357</v>
      </c>
      <c r="J3285" s="9"/>
      <c r="K3285" s="9"/>
      <c r="L3285" s="9"/>
    </row>
    <row r="3286" spans="2:12" ht="15" x14ac:dyDescent="0.25">
      <c r="B3286" t="s">
        <v>2102</v>
      </c>
      <c r="C3286" t="s">
        <v>2103</v>
      </c>
      <c r="D3286" t="str">
        <f>HYPERLINK("https://rhld.insurance.arkansas.gov/NPILookup?Npi=1881337137","1881337137")</f>
        <v>1881337137</v>
      </c>
      <c r="E3286" t="s">
        <v>3247</v>
      </c>
      <c r="F3286" t="s">
        <v>13</v>
      </c>
      <c r="G3286" s="20">
        <v>1</v>
      </c>
      <c r="H3286" t="s">
        <v>4357</v>
      </c>
      <c r="I3286" t="s">
        <v>4357</v>
      </c>
      <c r="J3286" s="9"/>
      <c r="K3286" s="9"/>
      <c r="L3286" s="9"/>
    </row>
    <row r="3287" spans="2:12" ht="15" x14ac:dyDescent="0.25">
      <c r="B3287" t="s">
        <v>2102</v>
      </c>
      <c r="C3287" t="s">
        <v>2103</v>
      </c>
      <c r="D3287" t="str">
        <f>HYPERLINK("https://rhld.insurance.arkansas.gov/NPILookup?Npi=1881340461","1881340461")</f>
        <v>1881340461</v>
      </c>
      <c r="E3287" t="s">
        <v>4619</v>
      </c>
      <c r="F3287" t="s">
        <v>12</v>
      </c>
      <c r="G3287" s="20">
        <v>1</v>
      </c>
      <c r="H3287" t="s">
        <v>4349</v>
      </c>
      <c r="I3287" t="s">
        <v>32</v>
      </c>
      <c r="J3287" s="9"/>
      <c r="K3287" s="9"/>
      <c r="L3287" s="9"/>
    </row>
    <row r="3288" spans="2:12" ht="15" x14ac:dyDescent="0.25">
      <c r="B3288" t="s">
        <v>2102</v>
      </c>
      <c r="C3288" t="s">
        <v>2103</v>
      </c>
      <c r="D3288" t="str">
        <f>HYPERLINK("https://rhld.insurance.arkansas.gov/NPILookup?Npi=1881384949","1881384949")</f>
        <v>1881384949</v>
      </c>
      <c r="E3288" t="s">
        <v>3248</v>
      </c>
      <c r="F3288" t="s">
        <v>12</v>
      </c>
      <c r="G3288" s="20">
        <v>1</v>
      </c>
      <c r="H3288" t="s">
        <v>4338</v>
      </c>
      <c r="I3288" t="s">
        <v>32</v>
      </c>
      <c r="J3288" s="9"/>
      <c r="K3288" s="9"/>
      <c r="L3288" s="9"/>
    </row>
    <row r="3289" spans="2:12" ht="15" x14ac:dyDescent="0.25">
      <c r="B3289" t="s">
        <v>2102</v>
      </c>
      <c r="C3289" t="s">
        <v>2103</v>
      </c>
      <c r="D3289" t="str">
        <f>HYPERLINK("https://rhld.insurance.arkansas.gov/NPILookup?Npi=1881469914","1881469914")</f>
        <v>1881469914</v>
      </c>
      <c r="E3289" t="s">
        <v>3249</v>
      </c>
      <c r="F3289" t="s">
        <v>13</v>
      </c>
      <c r="G3289" s="20">
        <v>2</v>
      </c>
      <c r="H3289" t="s">
        <v>439</v>
      </c>
      <c r="I3289" t="s">
        <v>4357</v>
      </c>
      <c r="J3289" s="9"/>
      <c r="K3289" s="9"/>
      <c r="L3289" s="9"/>
    </row>
    <row r="3290" spans="2:12" ht="15" x14ac:dyDescent="0.25">
      <c r="B3290" t="s">
        <v>2102</v>
      </c>
      <c r="C3290" t="s">
        <v>2103</v>
      </c>
      <c r="D3290" t="str">
        <f>HYPERLINK("https://rhld.insurance.arkansas.gov/NPILookup?Npi=1881616092","1881616092")</f>
        <v>1881616092</v>
      </c>
      <c r="E3290" t="s">
        <v>3250</v>
      </c>
      <c r="F3290" t="s">
        <v>12</v>
      </c>
      <c r="G3290" s="20">
        <v>1</v>
      </c>
      <c r="H3290" t="s">
        <v>4349</v>
      </c>
      <c r="I3290" t="s">
        <v>32</v>
      </c>
      <c r="J3290" s="9"/>
      <c r="K3290" s="9"/>
      <c r="L3290" s="9"/>
    </row>
    <row r="3291" spans="2:12" ht="15" x14ac:dyDescent="0.25">
      <c r="B3291" t="s">
        <v>2102</v>
      </c>
      <c r="C3291" t="s">
        <v>2103</v>
      </c>
      <c r="D3291" t="str">
        <f>HYPERLINK("https://rhld.insurance.arkansas.gov/NPILookup?Npi=1881624039","1881624039")</f>
        <v>1881624039</v>
      </c>
      <c r="E3291" t="s">
        <v>3251</v>
      </c>
      <c r="F3291" t="s">
        <v>12</v>
      </c>
      <c r="G3291" s="20">
        <v>1</v>
      </c>
      <c r="H3291" t="s">
        <v>4349</v>
      </c>
      <c r="I3291" t="s">
        <v>32</v>
      </c>
      <c r="J3291" s="9"/>
      <c r="K3291" s="9"/>
      <c r="L3291" s="9"/>
    </row>
    <row r="3292" spans="2:12" ht="15" x14ac:dyDescent="0.25">
      <c r="B3292" t="s">
        <v>2102</v>
      </c>
      <c r="C3292" t="s">
        <v>2103</v>
      </c>
      <c r="D3292" t="str">
        <f>HYPERLINK("https://rhld.insurance.arkansas.gov/NPILookup?Npi=1881667608","1881667608")</f>
        <v>1881667608</v>
      </c>
      <c r="E3292" t="s">
        <v>3252</v>
      </c>
      <c r="F3292" t="s">
        <v>12</v>
      </c>
      <c r="G3292" s="20">
        <v>1</v>
      </c>
      <c r="H3292" t="s">
        <v>4338</v>
      </c>
      <c r="I3292" t="s">
        <v>32</v>
      </c>
      <c r="J3292" s="9"/>
      <c r="K3292" s="9"/>
      <c r="L3292" s="9"/>
    </row>
    <row r="3293" spans="2:12" ht="15" x14ac:dyDescent="0.25">
      <c r="B3293" t="s">
        <v>2102</v>
      </c>
      <c r="C3293" t="s">
        <v>2103</v>
      </c>
      <c r="D3293" t="str">
        <f>HYPERLINK("https://rhld.insurance.arkansas.gov/NPILookup?Npi=1881696433","1881696433")</f>
        <v>1881696433</v>
      </c>
      <c r="E3293" t="s">
        <v>4620</v>
      </c>
      <c r="F3293" t="s">
        <v>12</v>
      </c>
      <c r="G3293" s="20">
        <v>1</v>
      </c>
      <c r="H3293" t="s">
        <v>4349</v>
      </c>
      <c r="I3293" t="s">
        <v>32</v>
      </c>
      <c r="J3293" s="9"/>
      <c r="K3293" s="9"/>
      <c r="L3293" s="9"/>
    </row>
    <row r="3294" spans="2:12" ht="15" x14ac:dyDescent="0.25">
      <c r="B3294" t="s">
        <v>2102</v>
      </c>
      <c r="C3294" t="s">
        <v>2103</v>
      </c>
      <c r="D3294" t="str">
        <f>HYPERLINK("https://rhld.insurance.arkansas.gov/NPILookup?Npi=1881747046","1881747046")</f>
        <v>1881747046</v>
      </c>
      <c r="E3294" t="s">
        <v>3254</v>
      </c>
      <c r="F3294" t="s">
        <v>13</v>
      </c>
      <c r="G3294" s="20">
        <v>1</v>
      </c>
      <c r="H3294" t="s">
        <v>4357</v>
      </c>
      <c r="I3294" t="s">
        <v>4357</v>
      </c>
      <c r="J3294" s="9"/>
      <c r="K3294" s="9"/>
      <c r="L3294" s="9"/>
    </row>
    <row r="3295" spans="2:12" ht="15" x14ac:dyDescent="0.25">
      <c r="B3295" t="s">
        <v>2102</v>
      </c>
      <c r="C3295" t="s">
        <v>2103</v>
      </c>
      <c r="D3295" t="str">
        <f>HYPERLINK("https://rhld.insurance.arkansas.gov/NPILookup?Npi=1881784346","1881784346")</f>
        <v>1881784346</v>
      </c>
      <c r="E3295" t="s">
        <v>136</v>
      </c>
      <c r="F3295" t="s">
        <v>12</v>
      </c>
      <c r="G3295" s="20">
        <v>1</v>
      </c>
      <c r="H3295" t="s">
        <v>4349</v>
      </c>
      <c r="I3295" t="s">
        <v>32</v>
      </c>
      <c r="J3295" s="9"/>
      <c r="K3295" s="9"/>
      <c r="L3295" s="9"/>
    </row>
    <row r="3296" spans="2:12" ht="15" x14ac:dyDescent="0.25">
      <c r="B3296" t="s">
        <v>2102</v>
      </c>
      <c r="C3296" t="s">
        <v>2103</v>
      </c>
      <c r="D3296" t="str">
        <f>HYPERLINK("https://rhld.insurance.arkansas.gov/NPILookup?Npi=1891100335","1891100335")</f>
        <v>1891100335</v>
      </c>
      <c r="E3296" t="s">
        <v>4621</v>
      </c>
      <c r="F3296" t="s">
        <v>12</v>
      </c>
      <c r="G3296" s="20">
        <v>1</v>
      </c>
      <c r="H3296" t="s">
        <v>4349</v>
      </c>
      <c r="I3296" t="s">
        <v>32</v>
      </c>
      <c r="J3296" s="9"/>
      <c r="K3296" s="9"/>
      <c r="L3296" s="9"/>
    </row>
    <row r="3297" spans="2:12" ht="15" x14ac:dyDescent="0.25">
      <c r="B3297" t="s">
        <v>2102</v>
      </c>
      <c r="C3297" t="s">
        <v>2103</v>
      </c>
      <c r="D3297" t="str">
        <f>HYPERLINK("https://rhld.insurance.arkansas.gov/NPILookup?Npi=1891130555","1891130555")</f>
        <v>1891130555</v>
      </c>
      <c r="E3297" t="s">
        <v>3256</v>
      </c>
      <c r="F3297" t="s">
        <v>12</v>
      </c>
      <c r="G3297" s="20">
        <v>1</v>
      </c>
      <c r="H3297" t="s">
        <v>4338</v>
      </c>
      <c r="I3297" t="s">
        <v>32</v>
      </c>
      <c r="J3297" s="9"/>
      <c r="K3297" s="9"/>
      <c r="L3297" s="9"/>
    </row>
    <row r="3298" spans="2:12" ht="15" x14ac:dyDescent="0.25">
      <c r="B3298" t="s">
        <v>2102</v>
      </c>
      <c r="C3298" t="s">
        <v>2103</v>
      </c>
      <c r="D3298" t="str">
        <f>HYPERLINK("https://rhld.insurance.arkansas.gov/NPILookup?Npi=1891144028","1891144028")</f>
        <v>1891144028</v>
      </c>
      <c r="E3298" t="s">
        <v>3257</v>
      </c>
      <c r="F3298" t="s">
        <v>13</v>
      </c>
      <c r="G3298" s="20">
        <v>1</v>
      </c>
      <c r="H3298" t="s">
        <v>4357</v>
      </c>
      <c r="I3298" t="s">
        <v>4357</v>
      </c>
      <c r="J3298" s="9"/>
      <c r="K3298" s="9"/>
      <c r="L3298" s="9"/>
    </row>
    <row r="3299" spans="2:12" ht="15" x14ac:dyDescent="0.25">
      <c r="B3299" t="s">
        <v>2102</v>
      </c>
      <c r="C3299" t="s">
        <v>2103</v>
      </c>
      <c r="D3299" t="str">
        <f>HYPERLINK("https://rhld.insurance.arkansas.gov/NPILookup?Npi=1891292140","1891292140")</f>
        <v>1891292140</v>
      </c>
      <c r="E3299" t="s">
        <v>3258</v>
      </c>
      <c r="F3299" t="s">
        <v>12</v>
      </c>
      <c r="G3299" s="20">
        <v>1</v>
      </c>
      <c r="H3299" t="s">
        <v>4349</v>
      </c>
      <c r="I3299" t="s">
        <v>32</v>
      </c>
      <c r="J3299" s="9"/>
      <c r="K3299" s="9"/>
      <c r="L3299" s="9"/>
    </row>
    <row r="3300" spans="2:12" ht="15" x14ac:dyDescent="0.25">
      <c r="B3300" t="s">
        <v>2102</v>
      </c>
      <c r="C3300" t="s">
        <v>2103</v>
      </c>
      <c r="D3300" t="str">
        <f>HYPERLINK("https://rhld.insurance.arkansas.gov/NPILookup?Npi=1891315008","1891315008")</f>
        <v>1891315008</v>
      </c>
      <c r="E3300" t="s">
        <v>889</v>
      </c>
      <c r="F3300" t="s">
        <v>12</v>
      </c>
      <c r="G3300" s="20">
        <v>1</v>
      </c>
      <c r="H3300" t="s">
        <v>4338</v>
      </c>
      <c r="I3300" t="s">
        <v>32</v>
      </c>
      <c r="J3300" s="9"/>
      <c r="K3300" s="9"/>
      <c r="L3300" s="9"/>
    </row>
    <row r="3301" spans="2:12" ht="15" x14ac:dyDescent="0.25">
      <c r="B3301" t="s">
        <v>2102</v>
      </c>
      <c r="C3301" t="s">
        <v>2103</v>
      </c>
      <c r="D3301" t="str">
        <f>HYPERLINK("https://rhld.insurance.arkansas.gov/NPILookup?Npi=1891346664","1891346664")</f>
        <v>1891346664</v>
      </c>
      <c r="E3301" t="s">
        <v>3259</v>
      </c>
      <c r="F3301" t="s">
        <v>12</v>
      </c>
      <c r="G3301" s="20">
        <v>1</v>
      </c>
      <c r="H3301" t="s">
        <v>4338</v>
      </c>
      <c r="I3301" t="s">
        <v>32</v>
      </c>
      <c r="J3301" s="9"/>
      <c r="K3301" s="9"/>
      <c r="L3301" s="9"/>
    </row>
    <row r="3302" spans="2:12" ht="15" x14ac:dyDescent="0.25">
      <c r="B3302" t="s">
        <v>2102</v>
      </c>
      <c r="C3302" t="s">
        <v>2103</v>
      </c>
      <c r="D3302" t="str">
        <f>HYPERLINK("https://rhld.insurance.arkansas.gov/NPILookup?Npi=1891500922","1891500922")</f>
        <v>1891500922</v>
      </c>
      <c r="E3302" t="s">
        <v>3260</v>
      </c>
      <c r="F3302" t="s">
        <v>13</v>
      </c>
      <c r="G3302" s="20">
        <v>1</v>
      </c>
      <c r="H3302" t="s">
        <v>4357</v>
      </c>
      <c r="I3302" t="s">
        <v>4357</v>
      </c>
      <c r="J3302" s="9"/>
      <c r="K3302" s="9"/>
      <c r="L3302" s="9"/>
    </row>
    <row r="3303" spans="2:12" ht="15" x14ac:dyDescent="0.25">
      <c r="B3303" t="s">
        <v>2102</v>
      </c>
      <c r="C3303" t="s">
        <v>2103</v>
      </c>
      <c r="D3303" t="str">
        <f>HYPERLINK("https://rhld.insurance.arkansas.gov/NPILookup?Npi=1891532099","1891532099")</f>
        <v>1891532099</v>
      </c>
      <c r="E3303" t="s">
        <v>3261</v>
      </c>
      <c r="F3303" t="s">
        <v>13</v>
      </c>
      <c r="G3303" s="20">
        <v>1</v>
      </c>
      <c r="H3303" t="s">
        <v>87</v>
      </c>
      <c r="I3303" t="s">
        <v>4357</v>
      </c>
      <c r="J3303" s="9"/>
      <c r="K3303" s="9"/>
      <c r="L3303" s="9"/>
    </row>
    <row r="3304" spans="2:12" ht="15" x14ac:dyDescent="0.25">
      <c r="B3304" t="s">
        <v>2102</v>
      </c>
      <c r="C3304" t="s">
        <v>2103</v>
      </c>
      <c r="D3304" t="str">
        <f>HYPERLINK("https://rhld.insurance.arkansas.gov/NPILookup?Npi=1891537221","1891537221")</f>
        <v>1891537221</v>
      </c>
      <c r="E3304" t="s">
        <v>3262</v>
      </c>
      <c r="F3304" t="s">
        <v>13</v>
      </c>
      <c r="G3304" s="20">
        <v>1</v>
      </c>
      <c r="H3304" t="s">
        <v>4357</v>
      </c>
      <c r="I3304" t="s">
        <v>4357</v>
      </c>
      <c r="J3304" s="9"/>
      <c r="K3304" s="9"/>
      <c r="L3304" s="9"/>
    </row>
    <row r="3305" spans="2:12" ht="15" x14ac:dyDescent="0.25">
      <c r="B3305" t="s">
        <v>2102</v>
      </c>
      <c r="C3305" t="s">
        <v>2103</v>
      </c>
      <c r="D3305" t="str">
        <f>HYPERLINK("https://rhld.insurance.arkansas.gov/NPILookup?Npi=1891553434","1891553434")</f>
        <v>1891553434</v>
      </c>
      <c r="E3305" t="s">
        <v>3263</v>
      </c>
      <c r="F3305" t="s">
        <v>13</v>
      </c>
      <c r="G3305" s="20">
        <v>2</v>
      </c>
      <c r="H3305" t="s">
        <v>439</v>
      </c>
      <c r="I3305" t="s">
        <v>4357</v>
      </c>
      <c r="J3305" s="9"/>
      <c r="K3305" s="9"/>
      <c r="L3305" s="9"/>
    </row>
    <row r="3306" spans="2:12" ht="15" x14ac:dyDescent="0.25">
      <c r="B3306" t="s">
        <v>2102</v>
      </c>
      <c r="C3306" t="s">
        <v>2103</v>
      </c>
      <c r="D3306" t="str">
        <f>HYPERLINK("https://rhld.insurance.arkansas.gov/NPILookup?Npi=1891592259","1891592259")</f>
        <v>1891592259</v>
      </c>
      <c r="E3306" t="s">
        <v>2097</v>
      </c>
      <c r="F3306" t="s">
        <v>13</v>
      </c>
      <c r="G3306" s="20">
        <v>1</v>
      </c>
      <c r="H3306" t="s">
        <v>4357</v>
      </c>
      <c r="I3306" t="s">
        <v>4357</v>
      </c>
      <c r="J3306" s="9"/>
      <c r="K3306" s="9"/>
      <c r="L3306" s="9"/>
    </row>
    <row r="3307" spans="2:12" ht="15" x14ac:dyDescent="0.25">
      <c r="B3307" t="s">
        <v>2102</v>
      </c>
      <c r="C3307" t="s">
        <v>2103</v>
      </c>
      <c r="D3307" t="str">
        <f>HYPERLINK("https://rhld.insurance.arkansas.gov/NPILookup?Npi=1891702205","1891702205")</f>
        <v>1891702205</v>
      </c>
      <c r="E3307" t="s">
        <v>3264</v>
      </c>
      <c r="F3307" t="s">
        <v>13</v>
      </c>
      <c r="G3307" s="20">
        <v>1</v>
      </c>
      <c r="H3307" t="s">
        <v>87</v>
      </c>
      <c r="I3307" t="s">
        <v>32</v>
      </c>
      <c r="J3307" s="9"/>
      <c r="K3307" s="9"/>
      <c r="L3307" s="9"/>
    </row>
    <row r="3308" spans="2:12" ht="15" x14ac:dyDescent="0.25">
      <c r="B3308" t="s">
        <v>2102</v>
      </c>
      <c r="C3308" t="s">
        <v>2103</v>
      </c>
      <c r="D3308" t="str">
        <f>HYPERLINK("https://rhld.insurance.arkansas.gov/NPILookup?Npi=1891704227","1891704227")</f>
        <v>1891704227</v>
      </c>
      <c r="E3308" t="s">
        <v>3265</v>
      </c>
      <c r="F3308" t="s">
        <v>12</v>
      </c>
      <c r="G3308" s="20">
        <v>1</v>
      </c>
      <c r="H3308" t="s">
        <v>4349</v>
      </c>
      <c r="I3308" t="s">
        <v>32</v>
      </c>
      <c r="J3308" s="9"/>
      <c r="K3308" s="9"/>
      <c r="L3308" s="9"/>
    </row>
    <row r="3309" spans="2:12" ht="15" x14ac:dyDescent="0.25">
      <c r="B3309" t="s">
        <v>2102</v>
      </c>
      <c r="C3309" t="s">
        <v>2103</v>
      </c>
      <c r="D3309" t="str">
        <f>HYPERLINK("https://rhld.insurance.arkansas.gov/NPILookup?Npi=1891765699","1891765699")</f>
        <v>1891765699</v>
      </c>
      <c r="E3309" t="s">
        <v>3266</v>
      </c>
      <c r="F3309" t="s">
        <v>12</v>
      </c>
      <c r="G3309" s="20">
        <v>1</v>
      </c>
      <c r="H3309" t="s">
        <v>4349</v>
      </c>
      <c r="I3309" t="s">
        <v>32</v>
      </c>
      <c r="J3309" s="9"/>
      <c r="K3309" s="9"/>
      <c r="L3309" s="9"/>
    </row>
    <row r="3310" spans="2:12" ht="15" x14ac:dyDescent="0.25">
      <c r="B3310" t="s">
        <v>2102</v>
      </c>
      <c r="C3310" t="s">
        <v>2103</v>
      </c>
      <c r="D3310" t="str">
        <f>HYPERLINK("https://rhld.insurance.arkansas.gov/NPILookup?Npi=1891768222","1891768222")</f>
        <v>1891768222</v>
      </c>
      <c r="E3310" t="s">
        <v>3267</v>
      </c>
      <c r="F3310" t="s">
        <v>12</v>
      </c>
      <c r="G3310" s="20">
        <v>1</v>
      </c>
      <c r="H3310" t="s">
        <v>4349</v>
      </c>
      <c r="I3310" t="s">
        <v>4357</v>
      </c>
      <c r="J3310" s="9"/>
      <c r="K3310" s="9"/>
      <c r="L3310" s="9"/>
    </row>
    <row r="3311" spans="2:12" ht="15" x14ac:dyDescent="0.25">
      <c r="B3311" t="s">
        <v>2102</v>
      </c>
      <c r="C3311" t="s">
        <v>2103</v>
      </c>
      <c r="D3311" t="str">
        <f>HYPERLINK("https://rhld.insurance.arkansas.gov/NPILookup?Npi=1891821153","1891821153")</f>
        <v>1891821153</v>
      </c>
      <c r="E3311" t="s">
        <v>3268</v>
      </c>
      <c r="F3311" t="s">
        <v>13</v>
      </c>
      <c r="G3311" s="20">
        <v>1</v>
      </c>
      <c r="H3311" t="s">
        <v>4357</v>
      </c>
      <c r="I3311" t="s">
        <v>4357</v>
      </c>
      <c r="J3311" s="9"/>
      <c r="K3311" s="9"/>
      <c r="L3311" s="9"/>
    </row>
    <row r="3312" spans="2:12" ht="15" x14ac:dyDescent="0.25">
      <c r="B3312" t="s">
        <v>2102</v>
      </c>
      <c r="C3312" t="s">
        <v>2103</v>
      </c>
      <c r="D3312" t="str">
        <f>HYPERLINK("https://rhld.insurance.arkansas.gov/NPILookup?Npi=1891833505","1891833505")</f>
        <v>1891833505</v>
      </c>
      <c r="E3312" t="s">
        <v>1278</v>
      </c>
      <c r="F3312" t="s">
        <v>12</v>
      </c>
      <c r="G3312" s="20">
        <v>1</v>
      </c>
      <c r="H3312" t="s">
        <v>4349</v>
      </c>
      <c r="I3312" t="s">
        <v>32</v>
      </c>
      <c r="J3312" s="9"/>
      <c r="K3312" s="9"/>
      <c r="L3312" s="9"/>
    </row>
    <row r="3313" spans="2:12" ht="15" x14ac:dyDescent="0.25">
      <c r="B3313" t="s">
        <v>2102</v>
      </c>
      <c r="C3313" t="s">
        <v>2103</v>
      </c>
      <c r="D3313" t="str">
        <f>HYPERLINK("https://rhld.insurance.arkansas.gov/NPILookup?Npi=1891921706","1891921706")</f>
        <v>1891921706</v>
      </c>
      <c r="E3313" t="s">
        <v>3269</v>
      </c>
      <c r="F3313" t="s">
        <v>12</v>
      </c>
      <c r="G3313" s="20">
        <v>1</v>
      </c>
      <c r="H3313" t="s">
        <v>4349</v>
      </c>
      <c r="I3313" t="s">
        <v>4357</v>
      </c>
      <c r="J3313" s="9"/>
      <c r="K3313" s="9"/>
      <c r="L3313" s="9"/>
    </row>
    <row r="3314" spans="2:12" ht="15" x14ac:dyDescent="0.25">
      <c r="B3314" t="s">
        <v>2102</v>
      </c>
      <c r="C3314" t="s">
        <v>2103</v>
      </c>
      <c r="D3314" t="str">
        <f>HYPERLINK("https://rhld.insurance.arkansas.gov/NPILookup?Npi=1891927182","1891927182")</f>
        <v>1891927182</v>
      </c>
      <c r="E3314" t="s">
        <v>4622</v>
      </c>
      <c r="F3314" t="s">
        <v>12</v>
      </c>
      <c r="G3314" s="20">
        <v>1</v>
      </c>
      <c r="H3314" t="s">
        <v>4349</v>
      </c>
      <c r="I3314" t="s">
        <v>32</v>
      </c>
      <c r="J3314" s="9"/>
      <c r="K3314" s="9"/>
      <c r="L3314" s="9"/>
    </row>
    <row r="3315" spans="2:12" ht="15" x14ac:dyDescent="0.25">
      <c r="B3315" t="s">
        <v>2102</v>
      </c>
      <c r="C3315" t="s">
        <v>2103</v>
      </c>
      <c r="D3315" t="str">
        <f>HYPERLINK("https://rhld.insurance.arkansas.gov/NPILookup?Npi=1902038375","1902038375")</f>
        <v>1902038375</v>
      </c>
      <c r="E3315" t="s">
        <v>3270</v>
      </c>
      <c r="F3315" t="s">
        <v>12</v>
      </c>
      <c r="G3315" s="20">
        <v>1</v>
      </c>
      <c r="H3315" t="s">
        <v>4338</v>
      </c>
      <c r="I3315" t="s">
        <v>32</v>
      </c>
      <c r="J3315" s="9"/>
      <c r="K3315" s="9"/>
      <c r="L3315" s="9"/>
    </row>
    <row r="3316" spans="2:12" ht="15" x14ac:dyDescent="0.25">
      <c r="B3316" t="s">
        <v>2102</v>
      </c>
      <c r="C3316" t="s">
        <v>2103</v>
      </c>
      <c r="D3316" t="str">
        <f>HYPERLINK("https://rhld.insurance.arkansas.gov/NPILookup?Npi=1902052863","1902052863")</f>
        <v>1902052863</v>
      </c>
      <c r="E3316" t="s">
        <v>3271</v>
      </c>
      <c r="F3316" t="s">
        <v>12</v>
      </c>
      <c r="G3316" s="20">
        <v>1</v>
      </c>
      <c r="H3316" t="s">
        <v>4349</v>
      </c>
      <c r="I3316" t="s">
        <v>32</v>
      </c>
      <c r="J3316" s="9"/>
      <c r="K3316" s="9"/>
      <c r="L3316" s="9"/>
    </row>
    <row r="3317" spans="2:12" ht="15" x14ac:dyDescent="0.25">
      <c r="B3317" t="s">
        <v>2102</v>
      </c>
      <c r="C3317" t="s">
        <v>2103</v>
      </c>
      <c r="D3317" t="str">
        <f>HYPERLINK("https://rhld.insurance.arkansas.gov/NPILookup?Npi=1902265408","1902265408")</f>
        <v>1902265408</v>
      </c>
      <c r="E3317" t="s">
        <v>3272</v>
      </c>
      <c r="F3317" t="s">
        <v>12</v>
      </c>
      <c r="G3317" s="20">
        <v>1</v>
      </c>
      <c r="H3317" t="s">
        <v>4349</v>
      </c>
      <c r="I3317" t="s">
        <v>32</v>
      </c>
      <c r="J3317" s="9"/>
      <c r="K3317" s="9"/>
      <c r="L3317" s="9"/>
    </row>
    <row r="3318" spans="2:12" ht="15" x14ac:dyDescent="0.25">
      <c r="B3318" t="s">
        <v>2102</v>
      </c>
      <c r="C3318" t="s">
        <v>2103</v>
      </c>
      <c r="D3318" t="str">
        <f>HYPERLINK("https://rhld.insurance.arkansas.gov/NPILookup?Npi=1902284326","1902284326")</f>
        <v>1902284326</v>
      </c>
      <c r="E3318" t="s">
        <v>4623</v>
      </c>
      <c r="F3318" t="s">
        <v>12</v>
      </c>
      <c r="G3318" s="20">
        <v>1</v>
      </c>
      <c r="H3318" t="s">
        <v>4349</v>
      </c>
      <c r="I3318" t="s">
        <v>32</v>
      </c>
      <c r="J3318" s="9"/>
      <c r="K3318" s="9"/>
      <c r="L3318" s="9"/>
    </row>
    <row r="3319" spans="2:12" ht="15" x14ac:dyDescent="0.25">
      <c r="B3319" t="s">
        <v>2102</v>
      </c>
      <c r="C3319" t="s">
        <v>2103</v>
      </c>
      <c r="D3319" t="str">
        <f>HYPERLINK("https://rhld.insurance.arkansas.gov/NPILookup?Npi=1902611718","1902611718")</f>
        <v>1902611718</v>
      </c>
      <c r="E3319" t="s">
        <v>2098</v>
      </c>
      <c r="F3319" t="s">
        <v>13</v>
      </c>
      <c r="G3319" s="20">
        <v>1</v>
      </c>
      <c r="H3319" t="s">
        <v>4357</v>
      </c>
      <c r="I3319" t="s">
        <v>4357</v>
      </c>
      <c r="J3319" s="9"/>
      <c r="K3319" s="9"/>
      <c r="L3319" s="9"/>
    </row>
    <row r="3320" spans="2:12" ht="15" x14ac:dyDescent="0.25">
      <c r="B3320" t="s">
        <v>2102</v>
      </c>
      <c r="C3320" t="s">
        <v>2103</v>
      </c>
      <c r="D3320" t="str">
        <f>HYPERLINK("https://rhld.insurance.arkansas.gov/NPILookup?Npi=1902624299","1902624299")</f>
        <v>1902624299</v>
      </c>
      <c r="E3320" t="s">
        <v>3274</v>
      </c>
      <c r="F3320" t="s">
        <v>13</v>
      </c>
      <c r="G3320" s="20">
        <v>2</v>
      </c>
      <c r="H3320" t="s">
        <v>439</v>
      </c>
      <c r="I3320" t="s">
        <v>4357</v>
      </c>
      <c r="J3320" s="9"/>
      <c r="K3320" s="9"/>
      <c r="L3320" s="9"/>
    </row>
    <row r="3321" spans="2:12" ht="15" x14ac:dyDescent="0.25">
      <c r="B3321" t="s">
        <v>2102</v>
      </c>
      <c r="C3321" t="s">
        <v>2103</v>
      </c>
      <c r="D3321" t="str">
        <f>HYPERLINK("https://rhld.insurance.arkansas.gov/NPILookup?Npi=1902683980","1902683980")</f>
        <v>1902683980</v>
      </c>
      <c r="E3321" t="s">
        <v>3275</v>
      </c>
      <c r="F3321" t="s">
        <v>12</v>
      </c>
      <c r="G3321" s="20">
        <v>1</v>
      </c>
      <c r="H3321" t="s">
        <v>4338</v>
      </c>
      <c r="I3321" t="s">
        <v>32</v>
      </c>
      <c r="J3321" s="9"/>
      <c r="K3321" s="9"/>
      <c r="L3321" s="9"/>
    </row>
    <row r="3322" spans="2:12" ht="15" x14ac:dyDescent="0.25">
      <c r="B3322" t="s">
        <v>2102</v>
      </c>
      <c r="C3322" t="s">
        <v>2103</v>
      </c>
      <c r="D3322" t="str">
        <f>HYPERLINK("https://rhld.insurance.arkansas.gov/NPILookup?Npi=1902808645","1902808645")</f>
        <v>1902808645</v>
      </c>
      <c r="E3322" t="s">
        <v>3276</v>
      </c>
      <c r="F3322" t="s">
        <v>12</v>
      </c>
      <c r="G3322" s="20">
        <v>1</v>
      </c>
      <c r="H3322" t="s">
        <v>4349</v>
      </c>
      <c r="I3322" t="s">
        <v>32</v>
      </c>
      <c r="J3322" s="9"/>
      <c r="K3322" s="9"/>
      <c r="L3322" s="9"/>
    </row>
    <row r="3323" spans="2:12" ht="15" x14ac:dyDescent="0.25">
      <c r="B3323" t="s">
        <v>2102</v>
      </c>
      <c r="C3323" t="s">
        <v>2103</v>
      </c>
      <c r="D3323" t="str">
        <f>HYPERLINK("https://rhld.insurance.arkansas.gov/NPILookup?Npi=1902905722","1902905722")</f>
        <v>1902905722</v>
      </c>
      <c r="E3323" t="s">
        <v>3277</v>
      </c>
      <c r="F3323" t="s">
        <v>12</v>
      </c>
      <c r="G3323" s="20">
        <v>1</v>
      </c>
      <c r="H3323" t="s">
        <v>4349</v>
      </c>
      <c r="I3323" t="s">
        <v>4357</v>
      </c>
      <c r="J3323" s="9"/>
      <c r="K3323" s="9"/>
      <c r="L3323" s="9"/>
    </row>
    <row r="3324" spans="2:12" ht="15" x14ac:dyDescent="0.25">
      <c r="B3324" t="s">
        <v>2102</v>
      </c>
      <c r="C3324" t="s">
        <v>2103</v>
      </c>
      <c r="D3324" t="str">
        <f>HYPERLINK("https://rhld.insurance.arkansas.gov/NPILookup?Npi=1902910516","1902910516")</f>
        <v>1902910516</v>
      </c>
      <c r="E3324" t="s">
        <v>3278</v>
      </c>
      <c r="F3324" t="s">
        <v>12</v>
      </c>
      <c r="G3324" s="20">
        <v>1</v>
      </c>
      <c r="H3324" t="s">
        <v>4338</v>
      </c>
      <c r="I3324" t="s">
        <v>32</v>
      </c>
      <c r="J3324" s="9"/>
      <c r="K3324" s="9"/>
      <c r="L3324" s="9"/>
    </row>
    <row r="3325" spans="2:12" ht="15" x14ac:dyDescent="0.25">
      <c r="B3325" t="s">
        <v>2102</v>
      </c>
      <c r="C3325" t="s">
        <v>2103</v>
      </c>
      <c r="D3325" t="str">
        <f>HYPERLINK("https://rhld.insurance.arkansas.gov/NPILookup?Npi=1912136870","1912136870")</f>
        <v>1912136870</v>
      </c>
      <c r="E3325" t="s">
        <v>3279</v>
      </c>
      <c r="F3325" t="s">
        <v>12</v>
      </c>
      <c r="G3325" s="20">
        <v>1</v>
      </c>
      <c r="H3325" t="s">
        <v>139</v>
      </c>
      <c r="I3325" t="s">
        <v>32</v>
      </c>
      <c r="J3325" s="9"/>
      <c r="K3325" s="9"/>
      <c r="L3325" s="9"/>
    </row>
    <row r="3326" spans="2:12" ht="15" x14ac:dyDescent="0.25">
      <c r="B3326" t="s">
        <v>2102</v>
      </c>
      <c r="C3326" t="s">
        <v>2103</v>
      </c>
      <c r="D3326" t="str">
        <f>HYPERLINK("https://rhld.insurance.arkansas.gov/NPILookup?Npi=1912143421","1912143421")</f>
        <v>1912143421</v>
      </c>
      <c r="E3326" t="s">
        <v>3280</v>
      </c>
      <c r="F3326" t="s">
        <v>12</v>
      </c>
      <c r="G3326" s="20">
        <v>1</v>
      </c>
      <c r="H3326" t="s">
        <v>4349</v>
      </c>
      <c r="I3326" t="s">
        <v>4357</v>
      </c>
      <c r="J3326" s="9"/>
      <c r="K3326" s="9"/>
      <c r="L3326" s="9"/>
    </row>
    <row r="3327" spans="2:12" ht="15" x14ac:dyDescent="0.25">
      <c r="B3327" t="s">
        <v>2102</v>
      </c>
      <c r="C3327" t="s">
        <v>2103</v>
      </c>
      <c r="D3327" t="str">
        <f>HYPERLINK("https://rhld.insurance.arkansas.gov/NPILookup?Npi=1912164229","1912164229")</f>
        <v>1912164229</v>
      </c>
      <c r="E3327" t="s">
        <v>3281</v>
      </c>
      <c r="F3327" t="s">
        <v>12</v>
      </c>
      <c r="G3327" s="20">
        <v>1</v>
      </c>
      <c r="H3327" t="s">
        <v>4338</v>
      </c>
      <c r="I3327" t="s">
        <v>32</v>
      </c>
      <c r="J3327" s="9"/>
      <c r="K3327" s="9"/>
      <c r="L3327" s="9"/>
    </row>
    <row r="3328" spans="2:12" ht="15" x14ac:dyDescent="0.25">
      <c r="B3328" t="s">
        <v>2102</v>
      </c>
      <c r="C3328" t="s">
        <v>2103</v>
      </c>
      <c r="D3328" t="str">
        <f>HYPERLINK("https://rhld.insurance.arkansas.gov/NPILookup?Npi=1912392986","1912392986")</f>
        <v>1912392986</v>
      </c>
      <c r="E3328" t="s">
        <v>1186</v>
      </c>
      <c r="F3328" t="s">
        <v>12</v>
      </c>
      <c r="G3328" s="20">
        <v>1</v>
      </c>
      <c r="H3328" t="s">
        <v>4349</v>
      </c>
      <c r="I3328" t="s">
        <v>32</v>
      </c>
      <c r="J3328" s="9"/>
      <c r="K3328" s="9"/>
      <c r="L3328" s="9"/>
    </row>
    <row r="3329" spans="2:12" ht="15" x14ac:dyDescent="0.25">
      <c r="B3329" t="s">
        <v>2102</v>
      </c>
      <c r="C3329" t="s">
        <v>2103</v>
      </c>
      <c r="D3329" t="str">
        <f>HYPERLINK("https://rhld.insurance.arkansas.gov/NPILookup?Npi=1912402900","1912402900")</f>
        <v>1912402900</v>
      </c>
      <c r="E3329" t="s">
        <v>3283</v>
      </c>
      <c r="F3329" t="s">
        <v>12</v>
      </c>
      <c r="G3329" s="20">
        <v>1</v>
      </c>
      <c r="H3329" t="s">
        <v>4338</v>
      </c>
      <c r="I3329" t="s">
        <v>32</v>
      </c>
      <c r="J3329" s="9"/>
      <c r="K3329" s="9"/>
      <c r="L3329" s="9"/>
    </row>
    <row r="3330" spans="2:12" ht="15" x14ac:dyDescent="0.25">
      <c r="B3330" t="s">
        <v>2102</v>
      </c>
      <c r="C3330" t="s">
        <v>2103</v>
      </c>
      <c r="D3330" t="str">
        <f>HYPERLINK("https://rhld.insurance.arkansas.gov/NPILookup?Npi=1912430844","1912430844")</f>
        <v>1912430844</v>
      </c>
      <c r="E3330" t="s">
        <v>3284</v>
      </c>
      <c r="F3330" t="s">
        <v>12</v>
      </c>
      <c r="G3330" s="20">
        <v>1</v>
      </c>
      <c r="H3330" t="s">
        <v>4349</v>
      </c>
      <c r="I3330" t="s">
        <v>32</v>
      </c>
      <c r="J3330" s="9"/>
      <c r="K3330" s="9"/>
      <c r="L3330" s="9"/>
    </row>
    <row r="3331" spans="2:12" ht="15" x14ac:dyDescent="0.25">
      <c r="B3331" t="s">
        <v>2102</v>
      </c>
      <c r="C3331" t="s">
        <v>2103</v>
      </c>
      <c r="D3331" t="str">
        <f>HYPERLINK("https://rhld.insurance.arkansas.gov/NPILookup?Npi=1912473125","1912473125")</f>
        <v>1912473125</v>
      </c>
      <c r="E3331" t="s">
        <v>175</v>
      </c>
      <c r="F3331" t="s">
        <v>12</v>
      </c>
      <c r="G3331" s="20">
        <v>1</v>
      </c>
      <c r="H3331" t="s">
        <v>4338</v>
      </c>
      <c r="I3331" t="s">
        <v>32</v>
      </c>
      <c r="J3331" s="9"/>
      <c r="K3331" s="9"/>
      <c r="L3331" s="9"/>
    </row>
    <row r="3332" spans="2:12" ht="15" x14ac:dyDescent="0.25">
      <c r="B3332" t="s">
        <v>2102</v>
      </c>
      <c r="C3332" t="s">
        <v>2103</v>
      </c>
      <c r="D3332" t="str">
        <f>HYPERLINK("https://rhld.insurance.arkansas.gov/NPILookup?Npi=1912521253","1912521253")</f>
        <v>1912521253</v>
      </c>
      <c r="E3332" t="s">
        <v>3286</v>
      </c>
      <c r="F3332" t="s">
        <v>12</v>
      </c>
      <c r="G3332" s="20">
        <v>1</v>
      </c>
      <c r="H3332" t="s">
        <v>139</v>
      </c>
      <c r="I3332" t="s">
        <v>32</v>
      </c>
      <c r="J3332" s="9"/>
      <c r="K3332" s="9"/>
      <c r="L3332" s="9"/>
    </row>
    <row r="3333" spans="2:12" ht="15" x14ac:dyDescent="0.25">
      <c r="B3333" t="s">
        <v>2102</v>
      </c>
      <c r="C3333" t="s">
        <v>2103</v>
      </c>
      <c r="D3333" t="str">
        <f>HYPERLINK("https://rhld.insurance.arkansas.gov/NPILookup?Npi=1912536632","1912536632")</f>
        <v>1912536632</v>
      </c>
      <c r="E3333" t="s">
        <v>3287</v>
      </c>
      <c r="F3333" t="s">
        <v>12</v>
      </c>
      <c r="G3333" s="20">
        <v>1</v>
      </c>
      <c r="H3333" t="s">
        <v>4349</v>
      </c>
      <c r="I3333" t="s">
        <v>32</v>
      </c>
      <c r="J3333" s="9"/>
      <c r="K3333" s="9"/>
      <c r="L3333" s="9"/>
    </row>
    <row r="3334" spans="2:12" ht="15" x14ac:dyDescent="0.25">
      <c r="B3334" t="s">
        <v>2102</v>
      </c>
      <c r="C3334" t="s">
        <v>2103</v>
      </c>
      <c r="D3334" t="str">
        <f>HYPERLINK("https://rhld.insurance.arkansas.gov/NPILookup?Npi=1912663758","1912663758")</f>
        <v>1912663758</v>
      </c>
      <c r="E3334" t="s">
        <v>3289</v>
      </c>
      <c r="F3334" t="s">
        <v>12</v>
      </c>
      <c r="G3334" s="20">
        <v>1</v>
      </c>
      <c r="H3334" t="s">
        <v>4338</v>
      </c>
      <c r="I3334" t="s">
        <v>32</v>
      </c>
      <c r="J3334" s="9"/>
      <c r="K3334" s="9"/>
      <c r="L3334" s="9"/>
    </row>
    <row r="3335" spans="2:12" ht="15" x14ac:dyDescent="0.25">
      <c r="B3335" t="s">
        <v>2102</v>
      </c>
      <c r="C3335" t="s">
        <v>2103</v>
      </c>
      <c r="D3335" t="str">
        <f>HYPERLINK("https://rhld.insurance.arkansas.gov/NPILookup?Npi=1912714304","1912714304")</f>
        <v>1912714304</v>
      </c>
      <c r="E3335" t="s">
        <v>2099</v>
      </c>
      <c r="F3335" t="s">
        <v>13</v>
      </c>
      <c r="G3335" s="20">
        <v>1</v>
      </c>
      <c r="H3335" t="s">
        <v>4357</v>
      </c>
      <c r="I3335" t="s">
        <v>4357</v>
      </c>
      <c r="J3335" s="9"/>
      <c r="K3335" s="9"/>
      <c r="L3335" s="9"/>
    </row>
    <row r="3336" spans="2:12" ht="15" x14ac:dyDescent="0.25">
      <c r="B3336" t="s">
        <v>2102</v>
      </c>
      <c r="C3336" t="s">
        <v>2103</v>
      </c>
      <c r="D3336" t="str">
        <f>HYPERLINK("https://rhld.insurance.arkansas.gov/NPILookup?Npi=1912752445","1912752445")</f>
        <v>1912752445</v>
      </c>
      <c r="E3336" t="s">
        <v>2100</v>
      </c>
      <c r="F3336" t="s">
        <v>13</v>
      </c>
      <c r="G3336" s="20">
        <v>1</v>
      </c>
      <c r="H3336" t="s">
        <v>4357</v>
      </c>
      <c r="I3336" t="s">
        <v>4357</v>
      </c>
      <c r="J3336" s="9"/>
      <c r="K3336" s="9"/>
      <c r="L3336" s="9"/>
    </row>
    <row r="3337" spans="2:12" ht="15" x14ac:dyDescent="0.25">
      <c r="B3337" t="s">
        <v>2102</v>
      </c>
      <c r="C3337" t="s">
        <v>2103</v>
      </c>
      <c r="D3337" t="str">
        <f>HYPERLINK("https://rhld.insurance.arkansas.gov/NPILookup?Npi=1912905092","1912905092")</f>
        <v>1912905092</v>
      </c>
      <c r="E3337" t="s">
        <v>4624</v>
      </c>
      <c r="F3337" t="s">
        <v>12</v>
      </c>
      <c r="G3337" s="20">
        <v>1</v>
      </c>
      <c r="H3337" t="s">
        <v>4349</v>
      </c>
      <c r="I3337" t="s">
        <v>32</v>
      </c>
      <c r="J3337" s="9"/>
      <c r="K3337" s="9"/>
      <c r="L3337" s="9"/>
    </row>
    <row r="3338" spans="2:12" ht="15" x14ac:dyDescent="0.25">
      <c r="B3338" t="s">
        <v>2102</v>
      </c>
      <c r="C3338" t="s">
        <v>2103</v>
      </c>
      <c r="D3338" t="str">
        <f>HYPERLINK("https://rhld.insurance.arkansas.gov/NPILookup?Npi=1922003037","1922003037")</f>
        <v>1922003037</v>
      </c>
      <c r="E3338" t="s">
        <v>4625</v>
      </c>
      <c r="F3338" t="s">
        <v>12</v>
      </c>
      <c r="G3338" s="20">
        <v>1</v>
      </c>
      <c r="H3338" t="s">
        <v>4349</v>
      </c>
      <c r="I3338" t="s">
        <v>4357</v>
      </c>
      <c r="J3338" s="9"/>
      <c r="K3338" s="9"/>
      <c r="L3338" s="9"/>
    </row>
    <row r="3339" spans="2:12" ht="15" x14ac:dyDescent="0.25">
      <c r="B3339" t="s">
        <v>2102</v>
      </c>
      <c r="C3339" t="s">
        <v>2103</v>
      </c>
      <c r="D3339" t="str">
        <f>HYPERLINK("https://rhld.insurance.arkansas.gov/NPILookup?Npi=1922071737","1922071737")</f>
        <v>1922071737</v>
      </c>
      <c r="E3339" t="s">
        <v>3291</v>
      </c>
      <c r="F3339" t="s">
        <v>12</v>
      </c>
      <c r="G3339" s="20">
        <v>1</v>
      </c>
      <c r="H3339" t="s">
        <v>4338</v>
      </c>
      <c r="I3339" t="s">
        <v>4357</v>
      </c>
      <c r="J3339" s="9"/>
      <c r="K3339" s="9"/>
      <c r="L3339" s="9"/>
    </row>
    <row r="3340" spans="2:12" ht="15" x14ac:dyDescent="0.25">
      <c r="B3340" t="s">
        <v>2102</v>
      </c>
      <c r="C3340" t="s">
        <v>2103</v>
      </c>
      <c r="D3340" t="str">
        <f>HYPERLINK("https://rhld.insurance.arkansas.gov/NPILookup?Npi=1922072891","1922072891")</f>
        <v>1922072891</v>
      </c>
      <c r="E3340" t="s">
        <v>4626</v>
      </c>
      <c r="F3340" t="s">
        <v>12</v>
      </c>
      <c r="G3340" s="20">
        <v>1</v>
      </c>
      <c r="H3340" t="s">
        <v>4349</v>
      </c>
      <c r="I3340" t="s">
        <v>4357</v>
      </c>
      <c r="J3340" s="9"/>
      <c r="K3340" s="9"/>
      <c r="L3340" s="9"/>
    </row>
    <row r="3341" spans="2:12" ht="15" x14ac:dyDescent="0.25">
      <c r="B3341" t="s">
        <v>2102</v>
      </c>
      <c r="C3341" t="s">
        <v>2103</v>
      </c>
      <c r="D3341" t="str">
        <f>HYPERLINK("https://rhld.insurance.arkansas.gov/NPILookup?Npi=1922116284","1922116284")</f>
        <v>1922116284</v>
      </c>
      <c r="E3341" t="s">
        <v>3292</v>
      </c>
      <c r="F3341" t="s">
        <v>12</v>
      </c>
      <c r="G3341" s="20">
        <v>1</v>
      </c>
      <c r="H3341" t="s">
        <v>4349</v>
      </c>
      <c r="I3341" t="s">
        <v>4357</v>
      </c>
      <c r="J3341" s="9"/>
      <c r="K3341" s="9"/>
      <c r="L3341" s="9"/>
    </row>
    <row r="3342" spans="2:12" ht="15" x14ac:dyDescent="0.25">
      <c r="B3342" t="s">
        <v>2102</v>
      </c>
      <c r="C3342" t="s">
        <v>2103</v>
      </c>
      <c r="D3342" t="str">
        <f>HYPERLINK("https://rhld.insurance.arkansas.gov/NPILookup?Npi=1922261387","1922261387")</f>
        <v>1922261387</v>
      </c>
      <c r="E3342" t="s">
        <v>3293</v>
      </c>
      <c r="F3342" t="s">
        <v>12</v>
      </c>
      <c r="G3342" s="20">
        <v>1</v>
      </c>
      <c r="H3342" t="s">
        <v>4349</v>
      </c>
      <c r="I3342" t="s">
        <v>4357</v>
      </c>
      <c r="J3342" s="9"/>
      <c r="K3342" s="9"/>
      <c r="L3342" s="9"/>
    </row>
    <row r="3343" spans="2:12" ht="15" x14ac:dyDescent="0.25">
      <c r="B3343" t="s">
        <v>2102</v>
      </c>
      <c r="C3343" t="s">
        <v>2103</v>
      </c>
      <c r="D3343" t="str">
        <f>HYPERLINK("https://rhld.insurance.arkansas.gov/NPILookup?Npi=1922315613","1922315613")</f>
        <v>1922315613</v>
      </c>
      <c r="E3343" t="s">
        <v>3294</v>
      </c>
      <c r="F3343" t="s">
        <v>12</v>
      </c>
      <c r="G3343" s="20">
        <v>1</v>
      </c>
      <c r="H3343" t="s">
        <v>4338</v>
      </c>
      <c r="I3343" t="s">
        <v>32</v>
      </c>
      <c r="J3343" s="9"/>
      <c r="K3343" s="9"/>
      <c r="L3343" s="9"/>
    </row>
    <row r="3344" spans="2:12" ht="15" x14ac:dyDescent="0.25">
      <c r="B3344" t="s">
        <v>2102</v>
      </c>
      <c r="C3344" t="s">
        <v>2103</v>
      </c>
      <c r="D3344" t="str">
        <f>HYPERLINK("https://rhld.insurance.arkansas.gov/NPILookup?Npi=1922398940","1922398940")</f>
        <v>1922398940</v>
      </c>
      <c r="E3344" t="s">
        <v>3296</v>
      </c>
      <c r="F3344" t="s">
        <v>12</v>
      </c>
      <c r="G3344" s="20">
        <v>1</v>
      </c>
      <c r="H3344" t="s">
        <v>4349</v>
      </c>
      <c r="I3344" t="s">
        <v>4357</v>
      </c>
      <c r="J3344" s="9"/>
      <c r="K3344" s="9"/>
      <c r="L3344" s="9"/>
    </row>
    <row r="3345" spans="2:12" ht="15" x14ac:dyDescent="0.25">
      <c r="B3345" t="s">
        <v>2102</v>
      </c>
      <c r="C3345" t="s">
        <v>2103</v>
      </c>
      <c r="D3345" t="str">
        <f>HYPERLINK("https://rhld.insurance.arkansas.gov/NPILookup?Npi=1922539907","1922539907")</f>
        <v>1922539907</v>
      </c>
      <c r="E3345" t="s">
        <v>3297</v>
      </c>
      <c r="F3345" t="s">
        <v>12</v>
      </c>
      <c r="G3345" s="20">
        <v>1</v>
      </c>
      <c r="H3345" t="s">
        <v>4338</v>
      </c>
      <c r="I3345" t="s">
        <v>32</v>
      </c>
      <c r="J3345" s="9"/>
      <c r="K3345" s="9"/>
      <c r="L3345" s="9"/>
    </row>
    <row r="3346" spans="2:12" ht="15" x14ac:dyDescent="0.25">
      <c r="B3346" t="s">
        <v>2102</v>
      </c>
      <c r="C3346" t="s">
        <v>2103</v>
      </c>
      <c r="D3346" t="str">
        <f>HYPERLINK("https://rhld.insurance.arkansas.gov/NPILookup?Npi=1922539915","1922539915")</f>
        <v>1922539915</v>
      </c>
      <c r="E3346" t="s">
        <v>3298</v>
      </c>
      <c r="F3346" t="s">
        <v>12</v>
      </c>
      <c r="G3346" s="20">
        <v>1</v>
      </c>
      <c r="H3346" t="s">
        <v>4338</v>
      </c>
      <c r="I3346" t="s">
        <v>32</v>
      </c>
      <c r="J3346" s="9"/>
      <c r="K3346" s="9"/>
      <c r="L3346" s="9"/>
    </row>
    <row r="3347" spans="2:12" ht="15" x14ac:dyDescent="0.25">
      <c r="B3347" t="s">
        <v>2102</v>
      </c>
      <c r="C3347" t="s">
        <v>2103</v>
      </c>
      <c r="D3347" t="str">
        <f>HYPERLINK("https://rhld.insurance.arkansas.gov/NPILookup?Npi=1922575042","1922575042")</f>
        <v>1922575042</v>
      </c>
      <c r="E3347" t="s">
        <v>3299</v>
      </c>
      <c r="F3347" t="s">
        <v>12</v>
      </c>
      <c r="G3347" s="20">
        <v>1</v>
      </c>
      <c r="H3347" t="s">
        <v>4338</v>
      </c>
      <c r="I3347" t="s">
        <v>32</v>
      </c>
      <c r="J3347" s="9"/>
      <c r="K3347" s="9"/>
      <c r="L3347" s="9"/>
    </row>
    <row r="3348" spans="2:12" ht="15" x14ac:dyDescent="0.25">
      <c r="B3348" t="s">
        <v>2102</v>
      </c>
      <c r="C3348" t="s">
        <v>2103</v>
      </c>
      <c r="D3348" t="str">
        <f>HYPERLINK("https://rhld.insurance.arkansas.gov/NPILookup?Npi=1922627249","1922627249")</f>
        <v>1922627249</v>
      </c>
      <c r="E3348" t="s">
        <v>3301</v>
      </c>
      <c r="F3348" t="s">
        <v>12</v>
      </c>
      <c r="G3348" s="20">
        <v>1</v>
      </c>
      <c r="H3348" t="s">
        <v>4338</v>
      </c>
      <c r="I3348" t="s">
        <v>32</v>
      </c>
      <c r="J3348" s="9"/>
      <c r="K3348" s="9"/>
      <c r="L3348" s="9"/>
    </row>
    <row r="3349" spans="2:12" ht="15" x14ac:dyDescent="0.25">
      <c r="B3349" t="s">
        <v>2102</v>
      </c>
      <c r="C3349" t="s">
        <v>2103</v>
      </c>
      <c r="D3349" t="str">
        <f>HYPERLINK("https://rhld.insurance.arkansas.gov/NPILookup?Npi=1922648237","1922648237")</f>
        <v>1922648237</v>
      </c>
      <c r="E3349" t="s">
        <v>3302</v>
      </c>
      <c r="F3349" t="s">
        <v>13</v>
      </c>
      <c r="G3349" s="20">
        <v>1</v>
      </c>
      <c r="H3349" t="s">
        <v>87</v>
      </c>
      <c r="I3349" t="s">
        <v>4357</v>
      </c>
      <c r="J3349" s="9"/>
      <c r="K3349" s="9"/>
      <c r="L3349" s="9"/>
    </row>
    <row r="3350" spans="2:12" ht="15" x14ac:dyDescent="0.25">
      <c r="B3350" t="s">
        <v>2102</v>
      </c>
      <c r="C3350" t="s">
        <v>2103</v>
      </c>
      <c r="D3350" t="str">
        <f>HYPERLINK("https://rhld.insurance.arkansas.gov/NPILookup?Npi=1922648815","1922648815")</f>
        <v>1922648815</v>
      </c>
      <c r="E3350" t="s">
        <v>3303</v>
      </c>
      <c r="F3350" t="s">
        <v>12</v>
      </c>
      <c r="G3350" s="20">
        <v>1</v>
      </c>
      <c r="H3350" t="s">
        <v>4338</v>
      </c>
      <c r="I3350" t="s">
        <v>32</v>
      </c>
      <c r="J3350" s="9"/>
      <c r="K3350" s="9"/>
      <c r="L3350" s="9"/>
    </row>
    <row r="3351" spans="2:12" ht="15" x14ac:dyDescent="0.25">
      <c r="B3351" t="s">
        <v>2102</v>
      </c>
      <c r="C3351" t="s">
        <v>2103</v>
      </c>
      <c r="D3351" t="str">
        <f>HYPERLINK("https://rhld.insurance.arkansas.gov/NPILookup?Npi=1922666171","1922666171")</f>
        <v>1922666171</v>
      </c>
      <c r="E3351" t="s">
        <v>3304</v>
      </c>
      <c r="F3351" t="s">
        <v>12</v>
      </c>
      <c r="G3351" s="20">
        <v>1</v>
      </c>
      <c r="H3351" t="s">
        <v>4349</v>
      </c>
      <c r="I3351" t="s">
        <v>32</v>
      </c>
      <c r="J3351" s="9"/>
      <c r="K3351" s="9"/>
      <c r="L3351" s="9"/>
    </row>
    <row r="3352" spans="2:12" ht="15" x14ac:dyDescent="0.25">
      <c r="B3352" t="s">
        <v>2102</v>
      </c>
      <c r="C3352" t="s">
        <v>2103</v>
      </c>
      <c r="D3352" t="str">
        <f>HYPERLINK("https://rhld.insurance.arkansas.gov/NPILookup?Npi=1922758259","1922758259")</f>
        <v>1922758259</v>
      </c>
      <c r="E3352" t="s">
        <v>3306</v>
      </c>
      <c r="F3352" t="s">
        <v>12</v>
      </c>
      <c r="G3352" s="20">
        <v>1</v>
      </c>
      <c r="H3352" t="s">
        <v>4338</v>
      </c>
      <c r="I3352" t="s">
        <v>32</v>
      </c>
      <c r="J3352" s="9"/>
      <c r="K3352" s="9"/>
      <c r="L3352" s="9"/>
    </row>
    <row r="3353" spans="2:12" ht="15" x14ac:dyDescent="0.25">
      <c r="B3353" t="s">
        <v>2102</v>
      </c>
      <c r="C3353" t="s">
        <v>2103</v>
      </c>
      <c r="D3353" t="str">
        <f>HYPERLINK("https://rhld.insurance.arkansas.gov/NPILookup?Npi=1922840495","1922840495")</f>
        <v>1922840495</v>
      </c>
      <c r="E3353" t="s">
        <v>3307</v>
      </c>
      <c r="F3353" t="s">
        <v>13</v>
      </c>
      <c r="G3353" s="20">
        <v>1</v>
      </c>
      <c r="H3353" t="s">
        <v>87</v>
      </c>
      <c r="I3353" t="s">
        <v>4357</v>
      </c>
      <c r="J3353" s="9"/>
      <c r="K3353" s="9"/>
      <c r="L3353" s="9"/>
    </row>
    <row r="3354" spans="2:12" ht="15" x14ac:dyDescent="0.25">
      <c r="B3354" t="s">
        <v>2102</v>
      </c>
      <c r="C3354" t="s">
        <v>2103</v>
      </c>
      <c r="D3354" t="str">
        <f>HYPERLINK("https://rhld.insurance.arkansas.gov/NPILookup?Npi=1932157260","1932157260")</f>
        <v>1932157260</v>
      </c>
      <c r="E3354" t="s">
        <v>3308</v>
      </c>
      <c r="F3354" t="s">
        <v>12</v>
      </c>
      <c r="G3354" s="20">
        <v>1</v>
      </c>
      <c r="H3354" t="s">
        <v>4349</v>
      </c>
      <c r="I3354" t="s">
        <v>4357</v>
      </c>
      <c r="J3354" s="9"/>
      <c r="K3354" s="9"/>
      <c r="L3354" s="9"/>
    </row>
    <row r="3355" spans="2:12" ht="15" x14ac:dyDescent="0.25">
      <c r="B3355" t="s">
        <v>2102</v>
      </c>
      <c r="C3355" t="s">
        <v>2103</v>
      </c>
      <c r="D3355" t="str">
        <f>HYPERLINK("https://rhld.insurance.arkansas.gov/NPILookup?Npi=1932166501","1932166501")</f>
        <v>1932166501</v>
      </c>
      <c r="E3355" t="s">
        <v>3309</v>
      </c>
      <c r="F3355" t="s">
        <v>12</v>
      </c>
      <c r="G3355" s="20">
        <v>1</v>
      </c>
      <c r="H3355" t="s">
        <v>141</v>
      </c>
      <c r="I3355" t="s">
        <v>32</v>
      </c>
      <c r="J3355" s="9"/>
      <c r="K3355" s="9"/>
      <c r="L3355" s="9"/>
    </row>
    <row r="3356" spans="2:12" ht="15" x14ac:dyDescent="0.25">
      <c r="B3356" t="s">
        <v>2102</v>
      </c>
      <c r="C3356" t="s">
        <v>2103</v>
      </c>
      <c r="D3356" t="str">
        <f>HYPERLINK("https://rhld.insurance.arkansas.gov/NPILookup?Npi=1932202819","1932202819")</f>
        <v>1932202819</v>
      </c>
      <c r="E3356" t="s">
        <v>4627</v>
      </c>
      <c r="F3356" t="s">
        <v>12</v>
      </c>
      <c r="G3356" s="20">
        <v>1</v>
      </c>
      <c r="H3356" t="s">
        <v>4349</v>
      </c>
      <c r="I3356" t="s">
        <v>32</v>
      </c>
      <c r="J3356" s="9"/>
      <c r="K3356" s="9"/>
      <c r="L3356" s="9"/>
    </row>
    <row r="3357" spans="2:12" ht="15" x14ac:dyDescent="0.25">
      <c r="B3357" t="s">
        <v>2102</v>
      </c>
      <c r="C3357" t="s">
        <v>2103</v>
      </c>
      <c r="D3357" t="str">
        <f>HYPERLINK("https://rhld.insurance.arkansas.gov/NPILookup?Npi=1932216090","1932216090")</f>
        <v>1932216090</v>
      </c>
      <c r="E3357" t="s">
        <v>3311</v>
      </c>
      <c r="F3357" t="s">
        <v>12</v>
      </c>
      <c r="G3357" s="20">
        <v>1</v>
      </c>
      <c r="H3357" t="s">
        <v>4338</v>
      </c>
      <c r="I3357" t="s">
        <v>32</v>
      </c>
      <c r="J3357" s="9"/>
      <c r="K3357" s="9"/>
      <c r="L3357" s="9"/>
    </row>
    <row r="3358" spans="2:12" ht="15" x14ac:dyDescent="0.25">
      <c r="B3358" t="s">
        <v>2102</v>
      </c>
      <c r="C3358" t="s">
        <v>2103</v>
      </c>
      <c r="D3358" t="str">
        <f>HYPERLINK("https://rhld.insurance.arkansas.gov/NPILookup?Npi=1932251097","1932251097")</f>
        <v>1932251097</v>
      </c>
      <c r="E3358" t="s">
        <v>3312</v>
      </c>
      <c r="F3358" t="s">
        <v>12</v>
      </c>
      <c r="G3358" s="20">
        <v>1</v>
      </c>
      <c r="H3358" t="s">
        <v>4338</v>
      </c>
      <c r="I3358" t="s">
        <v>32</v>
      </c>
      <c r="J3358" s="9"/>
      <c r="K3358" s="9"/>
      <c r="L3358" s="9"/>
    </row>
    <row r="3359" spans="2:12" ht="15" x14ac:dyDescent="0.25">
      <c r="B3359" t="s">
        <v>2102</v>
      </c>
      <c r="C3359" t="s">
        <v>2103</v>
      </c>
      <c r="D3359" t="str">
        <f>HYPERLINK("https://rhld.insurance.arkansas.gov/NPILookup?Npi=1932300530","1932300530")</f>
        <v>1932300530</v>
      </c>
      <c r="E3359" t="s">
        <v>3313</v>
      </c>
      <c r="F3359" t="s">
        <v>12</v>
      </c>
      <c r="G3359" s="20">
        <v>1</v>
      </c>
      <c r="H3359" t="s">
        <v>4338</v>
      </c>
      <c r="I3359" t="s">
        <v>32</v>
      </c>
      <c r="J3359" s="9"/>
      <c r="K3359" s="9"/>
      <c r="L3359" s="9"/>
    </row>
    <row r="3360" spans="2:12" ht="15" x14ac:dyDescent="0.25">
      <c r="B3360" t="s">
        <v>2102</v>
      </c>
      <c r="C3360" t="s">
        <v>2103</v>
      </c>
      <c r="D3360" t="str">
        <f>HYPERLINK("https://rhld.insurance.arkansas.gov/NPILookup?Npi=1932424595","1932424595")</f>
        <v>1932424595</v>
      </c>
      <c r="E3360" t="s">
        <v>3314</v>
      </c>
      <c r="F3360" t="s">
        <v>12</v>
      </c>
      <c r="G3360" s="20">
        <v>1</v>
      </c>
      <c r="H3360" t="s">
        <v>4349</v>
      </c>
      <c r="I3360" t="s">
        <v>4357</v>
      </c>
      <c r="J3360" s="9"/>
      <c r="K3360" s="9"/>
      <c r="L3360" s="9"/>
    </row>
    <row r="3361" spans="2:12" ht="15" x14ac:dyDescent="0.25">
      <c r="B3361" t="s">
        <v>2102</v>
      </c>
      <c r="C3361" t="s">
        <v>2103</v>
      </c>
      <c r="D3361" t="str">
        <f>HYPERLINK("https://rhld.insurance.arkansas.gov/NPILookup?Npi=1932587128","1932587128")</f>
        <v>1932587128</v>
      </c>
      <c r="E3361" t="s">
        <v>1442</v>
      </c>
      <c r="F3361" t="s">
        <v>12</v>
      </c>
      <c r="G3361" s="20">
        <v>1</v>
      </c>
      <c r="H3361" t="s">
        <v>4349</v>
      </c>
      <c r="I3361" t="s">
        <v>4357</v>
      </c>
      <c r="J3361" s="9"/>
      <c r="K3361" s="9"/>
      <c r="L3361" s="9"/>
    </row>
    <row r="3362" spans="2:12" ht="15" x14ac:dyDescent="0.25">
      <c r="B3362" t="s">
        <v>2102</v>
      </c>
      <c r="C3362" t="s">
        <v>2103</v>
      </c>
      <c r="D3362" t="str">
        <f>HYPERLINK("https://rhld.insurance.arkansas.gov/NPILookup?Npi=1932588407","1932588407")</f>
        <v>1932588407</v>
      </c>
      <c r="E3362" t="s">
        <v>3315</v>
      </c>
      <c r="F3362" t="s">
        <v>12</v>
      </c>
      <c r="G3362" s="20">
        <v>1</v>
      </c>
      <c r="H3362" t="s">
        <v>4349</v>
      </c>
      <c r="I3362" t="s">
        <v>32</v>
      </c>
      <c r="J3362" s="9"/>
      <c r="K3362" s="9"/>
      <c r="L3362" s="9"/>
    </row>
    <row r="3363" spans="2:12" ht="15" x14ac:dyDescent="0.25">
      <c r="B3363" t="s">
        <v>2102</v>
      </c>
      <c r="C3363" t="s">
        <v>2103</v>
      </c>
      <c r="D3363" t="str">
        <f>HYPERLINK("https://rhld.insurance.arkansas.gov/NPILookup?Npi=1932741212","1932741212")</f>
        <v>1932741212</v>
      </c>
      <c r="E3363" t="s">
        <v>3316</v>
      </c>
      <c r="F3363" t="s">
        <v>13</v>
      </c>
      <c r="G3363" s="20">
        <v>1</v>
      </c>
      <c r="H3363" t="s">
        <v>4357</v>
      </c>
      <c r="I3363" t="s">
        <v>4357</v>
      </c>
      <c r="J3363" s="9"/>
      <c r="K3363" s="9"/>
      <c r="L3363" s="9"/>
    </row>
    <row r="3364" spans="2:12" ht="15" x14ac:dyDescent="0.25">
      <c r="B3364" t="s">
        <v>2102</v>
      </c>
      <c r="C3364" t="s">
        <v>2103</v>
      </c>
      <c r="D3364" t="str">
        <f>HYPERLINK("https://rhld.insurance.arkansas.gov/NPILookup?Npi=1932742400","1932742400")</f>
        <v>1932742400</v>
      </c>
      <c r="E3364" t="s">
        <v>3317</v>
      </c>
      <c r="F3364" t="s">
        <v>12</v>
      </c>
      <c r="G3364" s="20">
        <v>1</v>
      </c>
      <c r="H3364" t="s">
        <v>4338</v>
      </c>
      <c r="I3364" t="s">
        <v>32</v>
      </c>
      <c r="J3364" s="9"/>
      <c r="K3364" s="9"/>
      <c r="L3364" s="9"/>
    </row>
    <row r="3365" spans="2:12" ht="15" x14ac:dyDescent="0.25">
      <c r="B3365" t="s">
        <v>2102</v>
      </c>
      <c r="C3365" t="s">
        <v>2103</v>
      </c>
      <c r="D3365" t="str">
        <f>HYPERLINK("https://rhld.insurance.arkansas.gov/NPILookup?Npi=1932910064","1932910064")</f>
        <v>1932910064</v>
      </c>
      <c r="E3365" t="s">
        <v>3318</v>
      </c>
      <c r="F3365" t="s">
        <v>13</v>
      </c>
      <c r="G3365" s="20">
        <v>1</v>
      </c>
      <c r="H3365" t="s">
        <v>4357</v>
      </c>
      <c r="I3365" t="s">
        <v>4357</v>
      </c>
      <c r="J3365" s="9"/>
      <c r="K3365" s="9"/>
      <c r="L3365" s="9"/>
    </row>
    <row r="3366" spans="2:12" ht="15" x14ac:dyDescent="0.25">
      <c r="B3366" t="s">
        <v>2102</v>
      </c>
      <c r="C3366" t="s">
        <v>2103</v>
      </c>
      <c r="D3366" t="str">
        <f>HYPERLINK("https://rhld.insurance.arkansas.gov/NPILookup?Npi=1942256102","1942256102")</f>
        <v>1942256102</v>
      </c>
      <c r="E3366" t="s">
        <v>911</v>
      </c>
      <c r="F3366" t="s">
        <v>12</v>
      </c>
      <c r="G3366" s="20">
        <v>1</v>
      </c>
      <c r="H3366" t="s">
        <v>4349</v>
      </c>
      <c r="I3366" t="s">
        <v>4357</v>
      </c>
      <c r="J3366" s="9"/>
      <c r="K3366" s="9"/>
      <c r="L3366" s="9"/>
    </row>
    <row r="3367" spans="2:12" ht="15" x14ac:dyDescent="0.25">
      <c r="B3367" t="s">
        <v>2102</v>
      </c>
      <c r="C3367" t="s">
        <v>2103</v>
      </c>
      <c r="D3367" t="str">
        <f>HYPERLINK("https://rhld.insurance.arkansas.gov/NPILookup?Npi=1942277843","1942277843")</f>
        <v>1942277843</v>
      </c>
      <c r="E3367" t="s">
        <v>3319</v>
      </c>
      <c r="F3367" t="s">
        <v>12</v>
      </c>
      <c r="G3367" s="20">
        <v>1</v>
      </c>
      <c r="H3367" t="s">
        <v>4349</v>
      </c>
      <c r="I3367" t="s">
        <v>32</v>
      </c>
      <c r="J3367" s="9"/>
      <c r="K3367" s="9"/>
      <c r="L3367" s="9"/>
    </row>
    <row r="3368" spans="2:12" ht="15" x14ac:dyDescent="0.25">
      <c r="B3368" t="s">
        <v>2102</v>
      </c>
      <c r="C3368" t="s">
        <v>2103</v>
      </c>
      <c r="D3368" t="str">
        <f>HYPERLINK("https://rhld.insurance.arkansas.gov/NPILookup?Npi=1942308101","1942308101")</f>
        <v>1942308101</v>
      </c>
      <c r="E3368" t="s">
        <v>3320</v>
      </c>
      <c r="F3368" t="s">
        <v>12</v>
      </c>
      <c r="G3368" s="20">
        <v>1</v>
      </c>
      <c r="H3368" t="s">
        <v>4349</v>
      </c>
      <c r="I3368" t="s">
        <v>32</v>
      </c>
      <c r="J3368" s="9"/>
      <c r="K3368" s="9"/>
      <c r="L3368" s="9"/>
    </row>
    <row r="3369" spans="2:12" ht="15" x14ac:dyDescent="0.25">
      <c r="B3369" t="s">
        <v>2102</v>
      </c>
      <c r="C3369" t="s">
        <v>2103</v>
      </c>
      <c r="D3369" t="str">
        <f>HYPERLINK("https://rhld.insurance.arkansas.gov/NPILookup?Npi=1942402284","1942402284")</f>
        <v>1942402284</v>
      </c>
      <c r="E3369" t="s">
        <v>3321</v>
      </c>
      <c r="F3369" t="s">
        <v>12</v>
      </c>
      <c r="G3369" s="20">
        <v>1</v>
      </c>
      <c r="H3369" t="s">
        <v>4349</v>
      </c>
      <c r="I3369" t="s">
        <v>4357</v>
      </c>
      <c r="J3369" s="9"/>
      <c r="K3369" s="9"/>
      <c r="L3369" s="9"/>
    </row>
    <row r="3370" spans="2:12" ht="15" x14ac:dyDescent="0.25">
      <c r="B3370" t="s">
        <v>2102</v>
      </c>
      <c r="C3370" t="s">
        <v>2103</v>
      </c>
      <c r="D3370" t="str">
        <f>HYPERLINK("https://rhld.insurance.arkansas.gov/NPILookup?Npi=1942434394","1942434394")</f>
        <v>1942434394</v>
      </c>
      <c r="E3370" t="s">
        <v>3322</v>
      </c>
      <c r="F3370" t="s">
        <v>12</v>
      </c>
      <c r="G3370" s="20">
        <v>1</v>
      </c>
      <c r="H3370" t="s">
        <v>4338</v>
      </c>
      <c r="I3370" t="s">
        <v>32</v>
      </c>
      <c r="J3370" s="9"/>
      <c r="K3370" s="9"/>
      <c r="L3370" s="9"/>
    </row>
    <row r="3371" spans="2:12" ht="15" x14ac:dyDescent="0.25">
      <c r="B3371" t="s">
        <v>2102</v>
      </c>
      <c r="C3371" t="s">
        <v>2103</v>
      </c>
      <c r="D3371" t="str">
        <f>HYPERLINK("https://rhld.insurance.arkansas.gov/NPILookup?Npi=1942541115","1942541115")</f>
        <v>1942541115</v>
      </c>
      <c r="E3371" t="s">
        <v>3323</v>
      </c>
      <c r="F3371" t="s">
        <v>13</v>
      </c>
      <c r="G3371" s="20">
        <v>1</v>
      </c>
      <c r="H3371" t="s">
        <v>87</v>
      </c>
      <c r="I3371" t="s">
        <v>4357</v>
      </c>
      <c r="J3371" s="9"/>
      <c r="K3371" s="9"/>
      <c r="L3371" s="9"/>
    </row>
    <row r="3372" spans="2:12" ht="15" x14ac:dyDescent="0.25">
      <c r="B3372" t="s">
        <v>2102</v>
      </c>
      <c r="C3372" t="s">
        <v>2103</v>
      </c>
      <c r="D3372" t="str">
        <f>HYPERLINK("https://rhld.insurance.arkansas.gov/NPILookup?Npi=1942626619","1942626619")</f>
        <v>1942626619</v>
      </c>
      <c r="E3372" t="s">
        <v>3324</v>
      </c>
      <c r="F3372" t="s">
        <v>12</v>
      </c>
      <c r="G3372" s="20">
        <v>1</v>
      </c>
      <c r="H3372" t="s">
        <v>4338</v>
      </c>
      <c r="I3372" t="s">
        <v>32</v>
      </c>
      <c r="J3372" s="9"/>
      <c r="K3372" s="9"/>
      <c r="L3372" s="9"/>
    </row>
    <row r="3373" spans="2:12" ht="15" x14ac:dyDescent="0.25">
      <c r="B3373" t="s">
        <v>2102</v>
      </c>
      <c r="C3373" t="s">
        <v>2103</v>
      </c>
      <c r="D3373" t="str">
        <f>HYPERLINK("https://rhld.insurance.arkansas.gov/NPILookup?Npi=1942741376","1942741376")</f>
        <v>1942741376</v>
      </c>
      <c r="E3373" t="s">
        <v>3325</v>
      </c>
      <c r="F3373" t="s">
        <v>13</v>
      </c>
      <c r="G3373" s="20">
        <v>1</v>
      </c>
      <c r="H3373" t="s">
        <v>4357</v>
      </c>
      <c r="I3373" t="s">
        <v>4357</v>
      </c>
      <c r="J3373" s="9"/>
      <c r="K3373" s="9"/>
      <c r="L3373" s="9"/>
    </row>
    <row r="3374" spans="2:12" ht="15" x14ac:dyDescent="0.25">
      <c r="B3374" t="s">
        <v>2102</v>
      </c>
      <c r="C3374" t="s">
        <v>2103</v>
      </c>
      <c r="D3374" t="str">
        <f>HYPERLINK("https://rhld.insurance.arkansas.gov/NPILookup?Npi=1942857776","1942857776")</f>
        <v>1942857776</v>
      </c>
      <c r="E3374" t="s">
        <v>3327</v>
      </c>
      <c r="F3374" t="s">
        <v>12</v>
      </c>
      <c r="G3374" s="20">
        <v>1</v>
      </c>
      <c r="H3374" t="s">
        <v>4338</v>
      </c>
      <c r="I3374" t="s">
        <v>32</v>
      </c>
      <c r="J3374" s="9"/>
      <c r="K3374" s="9"/>
      <c r="L3374" s="9"/>
    </row>
    <row r="3375" spans="2:12" ht="15" x14ac:dyDescent="0.25">
      <c r="B3375" t="s">
        <v>2102</v>
      </c>
      <c r="C3375" t="s">
        <v>2103</v>
      </c>
      <c r="D3375" t="str">
        <f>HYPERLINK("https://rhld.insurance.arkansas.gov/NPILookup?Npi=1942964432","1942964432")</f>
        <v>1942964432</v>
      </c>
      <c r="E3375" t="s">
        <v>3328</v>
      </c>
      <c r="F3375" t="s">
        <v>12</v>
      </c>
      <c r="G3375" s="20">
        <v>1</v>
      </c>
      <c r="H3375" t="s">
        <v>4338</v>
      </c>
      <c r="I3375" t="s">
        <v>32</v>
      </c>
      <c r="J3375" s="9"/>
      <c r="K3375" s="9"/>
      <c r="L3375" s="9"/>
    </row>
    <row r="3376" spans="2:12" ht="15" x14ac:dyDescent="0.25">
      <c r="B3376" t="s">
        <v>2102</v>
      </c>
      <c r="C3376" t="s">
        <v>2103</v>
      </c>
      <c r="D3376" t="str">
        <f>HYPERLINK("https://rhld.insurance.arkansas.gov/NPILookup?Npi=1952006389","1952006389")</f>
        <v>1952006389</v>
      </c>
      <c r="E3376" t="s">
        <v>3329</v>
      </c>
      <c r="F3376" t="s">
        <v>12</v>
      </c>
      <c r="G3376" s="20">
        <v>1</v>
      </c>
      <c r="H3376" t="s">
        <v>4338</v>
      </c>
      <c r="I3376" t="s">
        <v>32</v>
      </c>
      <c r="J3376" s="9"/>
      <c r="K3376" s="9"/>
      <c r="L3376" s="9"/>
    </row>
    <row r="3377" spans="2:12" ht="15" x14ac:dyDescent="0.25">
      <c r="B3377" t="s">
        <v>2102</v>
      </c>
      <c r="C3377" t="s">
        <v>2103</v>
      </c>
      <c r="D3377" t="str">
        <f>HYPERLINK("https://rhld.insurance.arkansas.gov/NPILookup?Npi=1952171977","1952171977")</f>
        <v>1952171977</v>
      </c>
      <c r="E3377" t="s">
        <v>3330</v>
      </c>
      <c r="F3377" t="s">
        <v>13</v>
      </c>
      <c r="G3377" s="20">
        <v>1</v>
      </c>
      <c r="H3377" t="s">
        <v>4357</v>
      </c>
      <c r="I3377" t="s">
        <v>4357</v>
      </c>
      <c r="J3377" s="9"/>
      <c r="K3377" s="9"/>
      <c r="L3377" s="9"/>
    </row>
    <row r="3378" spans="2:12" ht="15" x14ac:dyDescent="0.25">
      <c r="B3378" t="s">
        <v>2102</v>
      </c>
      <c r="C3378" t="s">
        <v>2103</v>
      </c>
      <c r="D3378" t="str">
        <f>HYPERLINK("https://rhld.insurance.arkansas.gov/NPILookup?Npi=1952188757","1952188757")</f>
        <v>1952188757</v>
      </c>
      <c r="E3378" t="s">
        <v>3331</v>
      </c>
      <c r="F3378" t="s">
        <v>13</v>
      </c>
      <c r="G3378" s="20">
        <v>1</v>
      </c>
      <c r="H3378" t="s">
        <v>4357</v>
      </c>
      <c r="I3378" t="s">
        <v>4357</v>
      </c>
      <c r="J3378" s="9"/>
      <c r="K3378" s="9"/>
      <c r="L3378" s="9"/>
    </row>
    <row r="3379" spans="2:12" ht="15" x14ac:dyDescent="0.25">
      <c r="B3379" t="s">
        <v>2102</v>
      </c>
      <c r="C3379" t="s">
        <v>2103</v>
      </c>
      <c r="D3379" t="str">
        <f>HYPERLINK("https://rhld.insurance.arkansas.gov/NPILookup?Npi=1952342586","1952342586")</f>
        <v>1952342586</v>
      </c>
      <c r="E3379" t="s">
        <v>3333</v>
      </c>
      <c r="F3379" t="s">
        <v>12</v>
      </c>
      <c r="G3379" s="20">
        <v>1</v>
      </c>
      <c r="H3379" t="s">
        <v>139</v>
      </c>
      <c r="I3379" t="s">
        <v>4357</v>
      </c>
      <c r="J3379" s="9"/>
      <c r="K3379" s="9"/>
      <c r="L3379" s="9"/>
    </row>
    <row r="3380" spans="2:12" ht="15" x14ac:dyDescent="0.25">
      <c r="B3380" t="s">
        <v>2102</v>
      </c>
      <c r="C3380" t="s">
        <v>2103</v>
      </c>
      <c r="D3380" t="str">
        <f>HYPERLINK("https://rhld.insurance.arkansas.gov/NPILookup?Npi=1952344301","1952344301")</f>
        <v>1952344301</v>
      </c>
      <c r="E3380" t="s">
        <v>4628</v>
      </c>
      <c r="F3380" t="s">
        <v>12</v>
      </c>
      <c r="G3380" s="20">
        <v>1</v>
      </c>
      <c r="H3380" t="s">
        <v>4349</v>
      </c>
      <c r="I3380" t="s">
        <v>32</v>
      </c>
      <c r="J3380" s="9"/>
      <c r="K3380" s="9"/>
      <c r="L3380" s="9"/>
    </row>
    <row r="3381" spans="2:12" ht="15" x14ac:dyDescent="0.25">
      <c r="B3381" t="s">
        <v>2102</v>
      </c>
      <c r="C3381" t="s">
        <v>2103</v>
      </c>
      <c r="D3381" t="str">
        <f>HYPERLINK("https://rhld.insurance.arkansas.gov/NPILookup?Npi=1952345506","1952345506")</f>
        <v>1952345506</v>
      </c>
      <c r="E3381" t="s">
        <v>3334</v>
      </c>
      <c r="F3381" t="s">
        <v>12</v>
      </c>
      <c r="G3381" s="20">
        <v>1</v>
      </c>
      <c r="H3381" t="s">
        <v>4349</v>
      </c>
      <c r="I3381" t="s">
        <v>4357</v>
      </c>
      <c r="J3381" s="9"/>
      <c r="K3381" s="9"/>
      <c r="L3381" s="9"/>
    </row>
    <row r="3382" spans="2:12" ht="15" x14ac:dyDescent="0.25">
      <c r="B3382" t="s">
        <v>2102</v>
      </c>
      <c r="C3382" t="s">
        <v>2103</v>
      </c>
      <c r="D3382" t="str">
        <f>HYPERLINK("https://rhld.insurance.arkansas.gov/NPILookup?Npi=1952375156","1952375156")</f>
        <v>1952375156</v>
      </c>
      <c r="E3382" t="s">
        <v>3335</v>
      </c>
      <c r="F3382" t="s">
        <v>12</v>
      </c>
      <c r="G3382" s="20">
        <v>1</v>
      </c>
      <c r="H3382" t="s">
        <v>4349</v>
      </c>
      <c r="I3382" t="s">
        <v>32</v>
      </c>
      <c r="J3382" s="9"/>
      <c r="K3382" s="9"/>
      <c r="L3382" s="9"/>
    </row>
    <row r="3383" spans="2:12" ht="15" x14ac:dyDescent="0.25">
      <c r="B3383" t="s">
        <v>2102</v>
      </c>
      <c r="C3383" t="s">
        <v>2103</v>
      </c>
      <c r="D3383" t="str">
        <f>HYPERLINK("https://rhld.insurance.arkansas.gov/NPILookup?Npi=1952524878","1952524878")</f>
        <v>1952524878</v>
      </c>
      <c r="E3383" t="s">
        <v>3337</v>
      </c>
      <c r="F3383" t="s">
        <v>12</v>
      </c>
      <c r="G3383" s="20">
        <v>1</v>
      </c>
      <c r="H3383" t="s">
        <v>4338</v>
      </c>
      <c r="I3383" t="s">
        <v>32</v>
      </c>
      <c r="J3383" s="9"/>
      <c r="K3383" s="9"/>
      <c r="L3383" s="9"/>
    </row>
    <row r="3384" spans="2:12" ht="15" x14ac:dyDescent="0.25">
      <c r="B3384" t="s">
        <v>2102</v>
      </c>
      <c r="C3384" t="s">
        <v>2103</v>
      </c>
      <c r="D3384" t="str">
        <f>HYPERLINK("https://rhld.insurance.arkansas.gov/NPILookup?Npi=1952533697","1952533697")</f>
        <v>1952533697</v>
      </c>
      <c r="E3384" t="s">
        <v>3338</v>
      </c>
      <c r="F3384" t="s">
        <v>12</v>
      </c>
      <c r="G3384" s="20">
        <v>1</v>
      </c>
      <c r="H3384" t="s">
        <v>4338</v>
      </c>
      <c r="I3384" t="s">
        <v>32</v>
      </c>
      <c r="J3384" s="9"/>
      <c r="K3384" s="9"/>
      <c r="L3384" s="9"/>
    </row>
    <row r="3385" spans="2:12" ht="15" x14ac:dyDescent="0.25">
      <c r="B3385" t="s">
        <v>2102</v>
      </c>
      <c r="C3385" t="s">
        <v>2103</v>
      </c>
      <c r="D3385" t="str">
        <f>HYPERLINK("https://rhld.insurance.arkansas.gov/NPILookup?Npi=1952549602","1952549602")</f>
        <v>1952549602</v>
      </c>
      <c r="E3385" t="s">
        <v>4629</v>
      </c>
      <c r="F3385" t="s">
        <v>12</v>
      </c>
      <c r="G3385" s="20">
        <v>1</v>
      </c>
      <c r="H3385" t="s">
        <v>4349</v>
      </c>
      <c r="I3385" t="s">
        <v>32</v>
      </c>
      <c r="J3385" s="9"/>
      <c r="K3385" s="9"/>
      <c r="L3385" s="9"/>
    </row>
    <row r="3386" spans="2:12" ht="15" x14ac:dyDescent="0.25">
      <c r="B3386" t="s">
        <v>2102</v>
      </c>
      <c r="C3386" t="s">
        <v>2103</v>
      </c>
      <c r="D3386" t="str">
        <f>HYPERLINK("https://rhld.insurance.arkansas.gov/NPILookup?Npi=1952620544","1952620544")</f>
        <v>1952620544</v>
      </c>
      <c r="E3386" t="s">
        <v>3340</v>
      </c>
      <c r="F3386" t="s">
        <v>12</v>
      </c>
      <c r="G3386" s="20">
        <v>1</v>
      </c>
      <c r="H3386" t="s">
        <v>4349</v>
      </c>
      <c r="I3386" t="s">
        <v>32</v>
      </c>
      <c r="J3386" s="9"/>
      <c r="K3386" s="9"/>
      <c r="L3386" s="9"/>
    </row>
    <row r="3387" spans="2:12" ht="15" x14ac:dyDescent="0.25">
      <c r="B3387" t="s">
        <v>2102</v>
      </c>
      <c r="C3387" t="s">
        <v>2103</v>
      </c>
      <c r="D3387" t="str">
        <f>HYPERLINK("https://rhld.insurance.arkansas.gov/NPILookup?Npi=1952742991","1952742991")</f>
        <v>1952742991</v>
      </c>
      <c r="E3387" t="s">
        <v>3341</v>
      </c>
      <c r="F3387" t="s">
        <v>12</v>
      </c>
      <c r="G3387" s="20">
        <v>1</v>
      </c>
      <c r="H3387" t="s">
        <v>4349</v>
      </c>
      <c r="I3387" t="s">
        <v>32</v>
      </c>
      <c r="J3387" s="9"/>
      <c r="K3387" s="9"/>
      <c r="L3387" s="9"/>
    </row>
    <row r="3388" spans="2:12" ht="15" x14ac:dyDescent="0.25">
      <c r="B3388" t="s">
        <v>2102</v>
      </c>
      <c r="C3388" t="s">
        <v>2103</v>
      </c>
      <c r="D3388" t="str">
        <f>HYPERLINK("https://rhld.insurance.arkansas.gov/NPILookup?Npi=1952923518","1952923518")</f>
        <v>1952923518</v>
      </c>
      <c r="E3388" t="s">
        <v>3342</v>
      </c>
      <c r="F3388" t="s">
        <v>12</v>
      </c>
      <c r="G3388" s="20">
        <v>1</v>
      </c>
      <c r="H3388" t="s">
        <v>4338</v>
      </c>
      <c r="I3388" t="s">
        <v>32</v>
      </c>
      <c r="J3388" s="9"/>
      <c r="K3388" s="9"/>
      <c r="L3388" s="9"/>
    </row>
    <row r="3389" spans="2:12" ht="15" x14ac:dyDescent="0.25">
      <c r="B3389" t="s">
        <v>2102</v>
      </c>
      <c r="C3389" t="s">
        <v>2103</v>
      </c>
      <c r="D3389" t="str">
        <f>HYPERLINK("https://rhld.insurance.arkansas.gov/NPILookup?Npi=1952939761","1952939761")</f>
        <v>1952939761</v>
      </c>
      <c r="E3389" t="s">
        <v>3343</v>
      </c>
      <c r="F3389" t="s">
        <v>12</v>
      </c>
      <c r="G3389" s="20">
        <v>1</v>
      </c>
      <c r="H3389" t="s">
        <v>4349</v>
      </c>
      <c r="I3389" t="s">
        <v>32</v>
      </c>
      <c r="J3389" s="9"/>
      <c r="K3389" s="9"/>
      <c r="L3389" s="9"/>
    </row>
    <row r="3390" spans="2:12" ht="15" x14ac:dyDescent="0.25">
      <c r="B3390" t="s">
        <v>2102</v>
      </c>
      <c r="C3390" t="s">
        <v>2103</v>
      </c>
      <c r="D3390" t="str">
        <f>HYPERLINK("https://rhld.insurance.arkansas.gov/NPILookup?Npi=1962032888","1962032888")</f>
        <v>1962032888</v>
      </c>
      <c r="E3390" t="s">
        <v>3344</v>
      </c>
      <c r="F3390" t="s">
        <v>12</v>
      </c>
      <c r="G3390" s="20">
        <v>1</v>
      </c>
      <c r="H3390" t="s">
        <v>4338</v>
      </c>
      <c r="I3390" t="s">
        <v>32</v>
      </c>
      <c r="J3390" s="9"/>
      <c r="K3390" s="9"/>
      <c r="L3390" s="9"/>
    </row>
    <row r="3391" spans="2:12" ht="15" x14ac:dyDescent="0.25">
      <c r="B3391" t="s">
        <v>2102</v>
      </c>
      <c r="C3391" t="s">
        <v>2103</v>
      </c>
      <c r="D3391" t="str">
        <f>HYPERLINK("https://rhld.insurance.arkansas.gov/NPILookup?Npi=1962039958","1962039958")</f>
        <v>1962039958</v>
      </c>
      <c r="E3391" t="s">
        <v>3345</v>
      </c>
      <c r="F3391" t="s">
        <v>12</v>
      </c>
      <c r="G3391" s="20">
        <v>1</v>
      </c>
      <c r="H3391" t="s">
        <v>4349</v>
      </c>
      <c r="I3391" t="s">
        <v>32</v>
      </c>
      <c r="J3391" s="9"/>
      <c r="K3391" s="9"/>
      <c r="L3391" s="9"/>
    </row>
    <row r="3392" spans="2:12" ht="15" x14ac:dyDescent="0.25">
      <c r="B3392" t="s">
        <v>2102</v>
      </c>
      <c r="C3392" t="s">
        <v>2103</v>
      </c>
      <c r="D3392" t="str">
        <f>HYPERLINK("https://rhld.insurance.arkansas.gov/NPILookup?Npi=1962040568","1962040568")</f>
        <v>1962040568</v>
      </c>
      <c r="E3392" t="s">
        <v>3346</v>
      </c>
      <c r="F3392" t="s">
        <v>12</v>
      </c>
      <c r="G3392" s="20">
        <v>1</v>
      </c>
      <c r="H3392" t="s">
        <v>4338</v>
      </c>
      <c r="I3392" t="s">
        <v>32</v>
      </c>
      <c r="J3392" s="9"/>
      <c r="K3392" s="9"/>
      <c r="L3392" s="9"/>
    </row>
    <row r="3393" spans="2:12" ht="15" x14ac:dyDescent="0.25">
      <c r="B3393" t="s">
        <v>2102</v>
      </c>
      <c r="C3393" t="s">
        <v>2103</v>
      </c>
      <c r="D3393" t="str">
        <f>HYPERLINK("https://rhld.insurance.arkansas.gov/NPILookup?Npi=1962094565","1962094565")</f>
        <v>1962094565</v>
      </c>
      <c r="E3393" t="s">
        <v>3347</v>
      </c>
      <c r="F3393" t="s">
        <v>12</v>
      </c>
      <c r="G3393" s="20">
        <v>1</v>
      </c>
      <c r="H3393" t="s">
        <v>4338</v>
      </c>
      <c r="I3393" t="s">
        <v>32</v>
      </c>
      <c r="J3393" s="9"/>
      <c r="K3393" s="9"/>
      <c r="L3393" s="9"/>
    </row>
    <row r="3394" spans="2:12" ht="15" x14ac:dyDescent="0.25">
      <c r="B3394" t="s">
        <v>2102</v>
      </c>
      <c r="C3394" t="s">
        <v>2103</v>
      </c>
      <c r="D3394" t="str">
        <f>HYPERLINK("https://rhld.insurance.arkansas.gov/NPILookup?Npi=1962183103","1962183103")</f>
        <v>1962183103</v>
      </c>
      <c r="E3394" t="s">
        <v>3348</v>
      </c>
      <c r="F3394" t="s">
        <v>13</v>
      </c>
      <c r="G3394" s="20">
        <v>1</v>
      </c>
      <c r="H3394" t="s">
        <v>87</v>
      </c>
      <c r="I3394" t="s">
        <v>4357</v>
      </c>
      <c r="J3394" s="9"/>
      <c r="K3394" s="9"/>
      <c r="L3394" s="9"/>
    </row>
    <row r="3395" spans="2:12" ht="15" x14ac:dyDescent="0.25">
      <c r="B3395" t="s">
        <v>2102</v>
      </c>
      <c r="C3395" t="s">
        <v>2103</v>
      </c>
      <c r="D3395" t="str">
        <f>HYPERLINK("https://rhld.insurance.arkansas.gov/NPILookup?Npi=1962207589","1962207589")</f>
        <v>1962207589</v>
      </c>
      <c r="E3395" t="s">
        <v>3349</v>
      </c>
      <c r="F3395" t="s">
        <v>13</v>
      </c>
      <c r="G3395" s="20">
        <v>1</v>
      </c>
      <c r="H3395" t="s">
        <v>4357</v>
      </c>
      <c r="I3395" t="s">
        <v>4357</v>
      </c>
      <c r="J3395" s="9"/>
      <c r="K3395" s="9"/>
      <c r="L3395" s="9"/>
    </row>
    <row r="3396" spans="2:12" ht="15" x14ac:dyDescent="0.25">
      <c r="B3396" t="s">
        <v>2102</v>
      </c>
      <c r="C3396" t="s">
        <v>2103</v>
      </c>
      <c r="D3396" t="str">
        <f>HYPERLINK("https://rhld.insurance.arkansas.gov/NPILookup?Npi=1962227942","1962227942")</f>
        <v>1962227942</v>
      </c>
      <c r="E3396" t="s">
        <v>2101</v>
      </c>
      <c r="F3396" t="s">
        <v>13</v>
      </c>
      <c r="G3396" s="20">
        <v>1</v>
      </c>
      <c r="H3396" t="s">
        <v>4357</v>
      </c>
      <c r="I3396" t="s">
        <v>4357</v>
      </c>
      <c r="J3396" s="9"/>
      <c r="K3396" s="9"/>
      <c r="L3396" s="9"/>
    </row>
    <row r="3397" spans="2:12" ht="15" x14ac:dyDescent="0.25">
      <c r="B3397" t="s">
        <v>2102</v>
      </c>
      <c r="C3397" t="s">
        <v>2103</v>
      </c>
      <c r="D3397" t="str">
        <f>HYPERLINK("https://rhld.insurance.arkansas.gov/NPILookup?Npi=1962253088","1962253088")</f>
        <v>1962253088</v>
      </c>
      <c r="E3397" t="s">
        <v>3350</v>
      </c>
      <c r="F3397" t="s">
        <v>13</v>
      </c>
      <c r="G3397" s="20">
        <v>2</v>
      </c>
      <c r="H3397" t="s">
        <v>439</v>
      </c>
      <c r="I3397" t="s">
        <v>4357</v>
      </c>
      <c r="J3397" s="9"/>
      <c r="K3397" s="9"/>
      <c r="L3397" s="9"/>
    </row>
    <row r="3398" spans="2:12" ht="15" x14ac:dyDescent="0.25">
      <c r="B3398" t="s">
        <v>2102</v>
      </c>
      <c r="C3398" t="s">
        <v>2103</v>
      </c>
      <c r="D3398" t="str">
        <f>HYPERLINK("https://rhld.insurance.arkansas.gov/NPILookup?Npi=1962407940","1962407940")</f>
        <v>1962407940</v>
      </c>
      <c r="E3398" t="s">
        <v>919</v>
      </c>
      <c r="F3398" t="s">
        <v>12</v>
      </c>
      <c r="G3398" s="20">
        <v>1</v>
      </c>
      <c r="H3398" t="s">
        <v>4349</v>
      </c>
      <c r="I3398" t="s">
        <v>32</v>
      </c>
      <c r="J3398" s="9"/>
      <c r="K3398" s="9"/>
      <c r="L3398" s="9"/>
    </row>
    <row r="3399" spans="2:12" ht="15" x14ac:dyDescent="0.25">
      <c r="B3399" t="s">
        <v>2102</v>
      </c>
      <c r="C3399" t="s">
        <v>2103</v>
      </c>
      <c r="D3399" t="str">
        <f>HYPERLINK("https://rhld.insurance.arkansas.gov/NPILookup?Npi=1962468629","1962468629")</f>
        <v>1962468629</v>
      </c>
      <c r="E3399" t="s">
        <v>3351</v>
      </c>
      <c r="F3399" t="s">
        <v>12</v>
      </c>
      <c r="G3399" s="20">
        <v>1</v>
      </c>
      <c r="H3399" t="s">
        <v>4349</v>
      </c>
      <c r="I3399" t="s">
        <v>32</v>
      </c>
      <c r="J3399" s="9"/>
      <c r="K3399" s="9"/>
      <c r="L3399" s="9"/>
    </row>
    <row r="3400" spans="2:12" ht="15" x14ac:dyDescent="0.25">
      <c r="B3400" t="s">
        <v>2102</v>
      </c>
      <c r="C3400" t="s">
        <v>2103</v>
      </c>
      <c r="D3400" t="str">
        <f>HYPERLINK("https://rhld.insurance.arkansas.gov/NPILookup?Npi=1962470138","1962470138")</f>
        <v>1962470138</v>
      </c>
      <c r="E3400" t="s">
        <v>3352</v>
      </c>
      <c r="F3400" t="s">
        <v>12</v>
      </c>
      <c r="G3400" s="20">
        <v>1</v>
      </c>
      <c r="H3400" t="s">
        <v>4349</v>
      </c>
      <c r="I3400" t="s">
        <v>4357</v>
      </c>
      <c r="J3400" s="9"/>
      <c r="K3400" s="9"/>
      <c r="L3400" s="9"/>
    </row>
    <row r="3401" spans="2:12" ht="15" x14ac:dyDescent="0.25">
      <c r="B3401" t="s">
        <v>2102</v>
      </c>
      <c r="C3401" t="s">
        <v>2103</v>
      </c>
      <c r="D3401" t="str">
        <f>HYPERLINK("https://rhld.insurance.arkansas.gov/NPILookup?Npi=1962473553","1962473553")</f>
        <v>1962473553</v>
      </c>
      <c r="E3401" t="s">
        <v>3353</v>
      </c>
      <c r="F3401" t="s">
        <v>12</v>
      </c>
      <c r="G3401" s="20">
        <v>1</v>
      </c>
      <c r="H3401" t="s">
        <v>4349</v>
      </c>
      <c r="I3401" t="s">
        <v>32</v>
      </c>
      <c r="J3401" s="9"/>
      <c r="K3401" s="9"/>
      <c r="L3401" s="9"/>
    </row>
    <row r="3402" spans="2:12" ht="15" x14ac:dyDescent="0.25">
      <c r="B3402" t="s">
        <v>2102</v>
      </c>
      <c r="C3402" t="s">
        <v>2103</v>
      </c>
      <c r="D3402" t="str">
        <f>HYPERLINK("https://rhld.insurance.arkansas.gov/NPILookup?Npi=1962497594","1962497594")</f>
        <v>1962497594</v>
      </c>
      <c r="E3402" t="s">
        <v>4630</v>
      </c>
      <c r="F3402" t="s">
        <v>12</v>
      </c>
      <c r="G3402" s="20">
        <v>1</v>
      </c>
      <c r="H3402" t="s">
        <v>4349</v>
      </c>
      <c r="I3402" t="s">
        <v>4357</v>
      </c>
      <c r="J3402" s="9"/>
      <c r="K3402" s="9"/>
      <c r="L3402" s="9"/>
    </row>
    <row r="3403" spans="2:12" ht="15" x14ac:dyDescent="0.25">
      <c r="B3403" t="s">
        <v>2102</v>
      </c>
      <c r="C3403" t="s">
        <v>2103</v>
      </c>
      <c r="D3403" t="str">
        <f>HYPERLINK("https://rhld.insurance.arkansas.gov/NPILookup?Npi=1962511808","1962511808")</f>
        <v>1962511808</v>
      </c>
      <c r="E3403" t="s">
        <v>3354</v>
      </c>
      <c r="F3403" t="s">
        <v>12</v>
      </c>
      <c r="G3403" s="20">
        <v>1</v>
      </c>
      <c r="H3403" t="s">
        <v>4338</v>
      </c>
      <c r="I3403" t="s">
        <v>32</v>
      </c>
      <c r="J3403" s="9"/>
      <c r="K3403" s="9"/>
      <c r="L3403" s="9"/>
    </row>
    <row r="3404" spans="2:12" ht="15" x14ac:dyDescent="0.25">
      <c r="B3404" t="s">
        <v>2102</v>
      </c>
      <c r="C3404" t="s">
        <v>2103</v>
      </c>
      <c r="D3404" t="str">
        <f>HYPERLINK("https://rhld.insurance.arkansas.gov/NPILookup?Npi=1962515668","1962515668")</f>
        <v>1962515668</v>
      </c>
      <c r="E3404" t="s">
        <v>3355</v>
      </c>
      <c r="F3404" t="s">
        <v>12</v>
      </c>
      <c r="G3404" s="20">
        <v>1</v>
      </c>
      <c r="H3404" t="s">
        <v>4338</v>
      </c>
      <c r="I3404" t="s">
        <v>32</v>
      </c>
      <c r="J3404" s="9"/>
      <c r="K3404" s="9"/>
      <c r="L3404" s="9"/>
    </row>
    <row r="3405" spans="2:12" ht="15" x14ac:dyDescent="0.25">
      <c r="B3405" t="s">
        <v>2102</v>
      </c>
      <c r="C3405" t="s">
        <v>2103</v>
      </c>
      <c r="D3405" t="str">
        <f>HYPERLINK("https://rhld.insurance.arkansas.gov/NPILookup?Npi=1962524090","1962524090")</f>
        <v>1962524090</v>
      </c>
      <c r="E3405" t="s">
        <v>3356</v>
      </c>
      <c r="F3405" t="s">
        <v>12</v>
      </c>
      <c r="G3405" s="20">
        <v>1</v>
      </c>
      <c r="H3405" t="s">
        <v>4338</v>
      </c>
      <c r="I3405" t="s">
        <v>32</v>
      </c>
      <c r="J3405" s="9"/>
      <c r="K3405" s="9"/>
      <c r="L3405" s="9"/>
    </row>
    <row r="3406" spans="2:12" ht="15" x14ac:dyDescent="0.25">
      <c r="B3406" t="s">
        <v>2102</v>
      </c>
      <c r="C3406" t="s">
        <v>2103</v>
      </c>
      <c r="D3406" t="str">
        <f>HYPERLINK("https://rhld.insurance.arkansas.gov/NPILookup?Npi=1962728824","1962728824")</f>
        <v>1962728824</v>
      </c>
      <c r="E3406" t="s">
        <v>4631</v>
      </c>
      <c r="F3406" t="s">
        <v>12</v>
      </c>
      <c r="G3406" s="20">
        <v>1</v>
      </c>
      <c r="H3406" t="s">
        <v>4349</v>
      </c>
      <c r="I3406" t="s">
        <v>32</v>
      </c>
      <c r="J3406" s="9"/>
      <c r="K3406" s="9"/>
      <c r="L3406" s="9"/>
    </row>
    <row r="3407" spans="2:12" ht="15" x14ac:dyDescent="0.25">
      <c r="B3407" t="s">
        <v>2102</v>
      </c>
      <c r="C3407" t="s">
        <v>2103</v>
      </c>
      <c r="D3407" t="str">
        <f>HYPERLINK("https://rhld.insurance.arkansas.gov/NPILookup?Npi=1962826503","1962826503")</f>
        <v>1962826503</v>
      </c>
      <c r="E3407" t="s">
        <v>3359</v>
      </c>
      <c r="F3407" t="s">
        <v>13</v>
      </c>
      <c r="G3407" s="20">
        <v>1</v>
      </c>
      <c r="H3407" t="s">
        <v>87</v>
      </c>
      <c r="I3407" t="s">
        <v>32</v>
      </c>
      <c r="J3407" s="9"/>
      <c r="K3407" s="9"/>
      <c r="L3407" s="9"/>
    </row>
    <row r="3408" spans="2:12" ht="15" x14ac:dyDescent="0.25">
      <c r="B3408" t="s">
        <v>2102</v>
      </c>
      <c r="C3408" t="s">
        <v>2103</v>
      </c>
      <c r="D3408" t="str">
        <f>HYPERLINK("https://rhld.insurance.arkansas.gov/NPILookup?Npi=1962864694","1962864694")</f>
        <v>1962864694</v>
      </c>
      <c r="E3408" t="s">
        <v>3360</v>
      </c>
      <c r="F3408" t="s">
        <v>12</v>
      </c>
      <c r="G3408" s="20">
        <v>1</v>
      </c>
      <c r="H3408" t="s">
        <v>4349</v>
      </c>
      <c r="I3408" t="s">
        <v>32</v>
      </c>
      <c r="J3408" s="9"/>
      <c r="K3408" s="9"/>
      <c r="L3408" s="9"/>
    </row>
    <row r="3409" spans="2:12" ht="15" x14ac:dyDescent="0.25">
      <c r="B3409" t="s">
        <v>2102</v>
      </c>
      <c r="C3409" t="s">
        <v>2103</v>
      </c>
      <c r="D3409" t="str">
        <f>HYPERLINK("https://rhld.insurance.arkansas.gov/NPILookup?Npi=1962994608","1962994608")</f>
        <v>1962994608</v>
      </c>
      <c r="E3409" t="s">
        <v>4632</v>
      </c>
      <c r="F3409" t="s">
        <v>12</v>
      </c>
      <c r="G3409" s="20">
        <v>1</v>
      </c>
      <c r="H3409" t="s">
        <v>4349</v>
      </c>
      <c r="I3409" t="s">
        <v>32</v>
      </c>
      <c r="J3409" s="9"/>
      <c r="K3409" s="9"/>
      <c r="L3409" s="9"/>
    </row>
    <row r="3410" spans="2:12" ht="15" x14ac:dyDescent="0.25">
      <c r="B3410" t="s">
        <v>2102</v>
      </c>
      <c r="C3410" t="s">
        <v>2103</v>
      </c>
      <c r="D3410" t="str">
        <f>HYPERLINK("https://rhld.insurance.arkansas.gov/NPILookup?Npi=1962998559","1962998559")</f>
        <v>1962998559</v>
      </c>
      <c r="E3410" t="s">
        <v>3361</v>
      </c>
      <c r="F3410" t="s">
        <v>12</v>
      </c>
      <c r="G3410" s="20">
        <v>1</v>
      </c>
      <c r="H3410" t="s">
        <v>4349</v>
      </c>
      <c r="I3410" t="s">
        <v>32</v>
      </c>
      <c r="J3410" s="9"/>
      <c r="K3410" s="9"/>
      <c r="L3410" s="9"/>
    </row>
    <row r="3411" spans="2:12" ht="15" x14ac:dyDescent="0.25">
      <c r="B3411" t="s">
        <v>2102</v>
      </c>
      <c r="C3411" t="s">
        <v>2103</v>
      </c>
      <c r="D3411" t="str">
        <f>HYPERLINK("https://rhld.insurance.arkansas.gov/NPILookup?Npi=1972034775","1972034775")</f>
        <v>1972034775</v>
      </c>
      <c r="E3411" t="s">
        <v>3362</v>
      </c>
      <c r="F3411" t="s">
        <v>12</v>
      </c>
      <c r="G3411" s="20">
        <v>1</v>
      </c>
      <c r="H3411" t="s">
        <v>4338</v>
      </c>
      <c r="I3411" t="s">
        <v>32</v>
      </c>
      <c r="J3411" s="9"/>
      <c r="K3411" s="9"/>
      <c r="L3411" s="9"/>
    </row>
    <row r="3412" spans="2:12" ht="15" x14ac:dyDescent="0.25">
      <c r="B3412" t="s">
        <v>2102</v>
      </c>
      <c r="C3412" t="s">
        <v>2103</v>
      </c>
      <c r="D3412" t="str">
        <f>HYPERLINK("https://rhld.insurance.arkansas.gov/NPILookup?Npi=1972144608","1972144608")</f>
        <v>1972144608</v>
      </c>
      <c r="E3412" t="s">
        <v>3363</v>
      </c>
      <c r="F3412" t="s">
        <v>13</v>
      </c>
      <c r="G3412" s="20">
        <v>1</v>
      </c>
      <c r="H3412" t="s">
        <v>4357</v>
      </c>
      <c r="I3412" t="s">
        <v>4357</v>
      </c>
      <c r="J3412" s="9"/>
      <c r="K3412" s="9"/>
      <c r="L3412" s="9"/>
    </row>
    <row r="3413" spans="2:12" ht="15" x14ac:dyDescent="0.25">
      <c r="B3413" t="s">
        <v>2102</v>
      </c>
      <c r="C3413" t="s">
        <v>2103</v>
      </c>
      <c r="D3413" t="str">
        <f>HYPERLINK("https://rhld.insurance.arkansas.gov/NPILookup?Npi=1972180370","1972180370")</f>
        <v>1972180370</v>
      </c>
      <c r="E3413" t="s">
        <v>3364</v>
      </c>
      <c r="F3413" t="s">
        <v>13</v>
      </c>
      <c r="G3413" s="20">
        <v>1</v>
      </c>
      <c r="H3413" t="s">
        <v>4357</v>
      </c>
      <c r="I3413" t="s">
        <v>4357</v>
      </c>
      <c r="J3413" s="9"/>
      <c r="K3413" s="9"/>
      <c r="L3413" s="9"/>
    </row>
    <row r="3414" spans="2:12" ht="15" x14ac:dyDescent="0.25">
      <c r="B3414" t="s">
        <v>2102</v>
      </c>
      <c r="C3414" t="s">
        <v>2103</v>
      </c>
      <c r="D3414" t="str">
        <f>HYPERLINK("https://rhld.insurance.arkansas.gov/NPILookup?Npi=1972232593","1972232593")</f>
        <v>1972232593</v>
      </c>
      <c r="E3414" t="s">
        <v>3365</v>
      </c>
      <c r="F3414" t="s">
        <v>12</v>
      </c>
      <c r="G3414" s="20">
        <v>1</v>
      </c>
      <c r="H3414" t="s">
        <v>4338</v>
      </c>
      <c r="I3414" t="s">
        <v>32</v>
      </c>
      <c r="J3414" s="9"/>
      <c r="K3414" s="9"/>
      <c r="L3414" s="9"/>
    </row>
    <row r="3415" spans="2:12" ht="15" x14ac:dyDescent="0.25">
      <c r="B3415" t="s">
        <v>2102</v>
      </c>
      <c r="C3415" t="s">
        <v>2103</v>
      </c>
      <c r="D3415" t="str">
        <f>HYPERLINK("https://rhld.insurance.arkansas.gov/NPILookup?Npi=1972260545","1972260545")</f>
        <v>1972260545</v>
      </c>
      <c r="E3415" t="s">
        <v>3366</v>
      </c>
      <c r="F3415" t="s">
        <v>13</v>
      </c>
      <c r="G3415" s="20">
        <v>1</v>
      </c>
      <c r="H3415" t="s">
        <v>4357</v>
      </c>
      <c r="I3415" t="s">
        <v>32</v>
      </c>
      <c r="J3415" s="9"/>
      <c r="K3415" s="9"/>
      <c r="L3415" s="9"/>
    </row>
    <row r="3416" spans="2:12" ht="15" x14ac:dyDescent="0.25">
      <c r="B3416" t="s">
        <v>2102</v>
      </c>
      <c r="C3416" t="s">
        <v>2103</v>
      </c>
      <c r="D3416" t="str">
        <f>HYPERLINK("https://rhld.insurance.arkansas.gov/NPILookup?Npi=1972284107","1972284107")</f>
        <v>1972284107</v>
      </c>
      <c r="E3416" t="s">
        <v>3367</v>
      </c>
      <c r="F3416" t="s">
        <v>13</v>
      </c>
      <c r="G3416" s="20">
        <v>2</v>
      </c>
      <c r="H3416" t="s">
        <v>439</v>
      </c>
      <c r="I3416" t="s">
        <v>4357</v>
      </c>
      <c r="J3416" s="9"/>
      <c r="K3416" s="9"/>
      <c r="L3416" s="9"/>
    </row>
    <row r="3417" spans="2:12" ht="15" x14ac:dyDescent="0.25">
      <c r="B3417" t="s">
        <v>2102</v>
      </c>
      <c r="C3417" t="s">
        <v>2103</v>
      </c>
      <c r="D3417" t="str">
        <f>HYPERLINK("https://rhld.insurance.arkansas.gov/NPILookup?Npi=1972537090","1972537090")</f>
        <v>1972537090</v>
      </c>
      <c r="E3417" t="s">
        <v>3368</v>
      </c>
      <c r="F3417" t="s">
        <v>12</v>
      </c>
      <c r="G3417" s="20">
        <v>2</v>
      </c>
      <c r="H3417" t="s">
        <v>4633</v>
      </c>
      <c r="I3417" t="s">
        <v>32</v>
      </c>
      <c r="J3417" s="9"/>
      <c r="K3417" s="9"/>
      <c r="L3417" s="9"/>
    </row>
    <row r="3418" spans="2:12" ht="15" x14ac:dyDescent="0.25">
      <c r="B3418" t="s">
        <v>2102</v>
      </c>
      <c r="C3418" t="s">
        <v>2103</v>
      </c>
      <c r="D3418" t="str">
        <f>HYPERLINK("https://rhld.insurance.arkansas.gov/NPILookup?Npi=1972582237","1972582237")</f>
        <v>1972582237</v>
      </c>
      <c r="E3418" t="s">
        <v>3369</v>
      </c>
      <c r="F3418" t="s">
        <v>12</v>
      </c>
      <c r="G3418" s="20">
        <v>1</v>
      </c>
      <c r="H3418" t="s">
        <v>4338</v>
      </c>
      <c r="I3418" t="s">
        <v>32</v>
      </c>
      <c r="J3418" s="9"/>
      <c r="K3418" s="9"/>
      <c r="L3418" s="9"/>
    </row>
    <row r="3419" spans="2:12" ht="15" x14ac:dyDescent="0.25">
      <c r="B3419" t="s">
        <v>2102</v>
      </c>
      <c r="C3419" t="s">
        <v>2103</v>
      </c>
      <c r="D3419" t="str">
        <f>HYPERLINK("https://rhld.insurance.arkansas.gov/NPILookup?Npi=1972584571","1972584571")</f>
        <v>1972584571</v>
      </c>
      <c r="E3419" t="s">
        <v>1516</v>
      </c>
      <c r="F3419" t="s">
        <v>12</v>
      </c>
      <c r="G3419" s="20">
        <v>1</v>
      </c>
      <c r="H3419" t="s">
        <v>4349</v>
      </c>
      <c r="I3419" t="s">
        <v>4357</v>
      </c>
      <c r="J3419" s="9"/>
      <c r="K3419" s="9"/>
      <c r="L3419" s="9"/>
    </row>
    <row r="3420" spans="2:12" ht="15" x14ac:dyDescent="0.25">
      <c r="B3420" t="s">
        <v>2102</v>
      </c>
      <c r="C3420" t="s">
        <v>2103</v>
      </c>
      <c r="D3420" t="str">
        <f>HYPERLINK("https://rhld.insurance.arkansas.gov/NPILookup?Npi=1972659480","1972659480")</f>
        <v>1972659480</v>
      </c>
      <c r="E3420" t="s">
        <v>4634</v>
      </c>
      <c r="F3420" t="s">
        <v>12</v>
      </c>
      <c r="G3420" s="20">
        <v>1</v>
      </c>
      <c r="H3420" t="s">
        <v>4349</v>
      </c>
      <c r="I3420" t="s">
        <v>32</v>
      </c>
      <c r="J3420" s="9"/>
      <c r="K3420" s="9"/>
      <c r="L3420" s="9"/>
    </row>
    <row r="3421" spans="2:12" ht="15" x14ac:dyDescent="0.25">
      <c r="B3421" t="s">
        <v>2102</v>
      </c>
      <c r="C3421" t="s">
        <v>2103</v>
      </c>
      <c r="D3421" t="str">
        <f>HYPERLINK("https://rhld.insurance.arkansas.gov/NPILookup?Npi=1972721413","1972721413")</f>
        <v>1972721413</v>
      </c>
      <c r="E3421" t="s">
        <v>4635</v>
      </c>
      <c r="F3421" t="s">
        <v>12</v>
      </c>
      <c r="G3421" s="20">
        <v>1</v>
      </c>
      <c r="H3421" t="s">
        <v>4349</v>
      </c>
      <c r="I3421" t="s">
        <v>4357</v>
      </c>
      <c r="J3421" s="9"/>
      <c r="K3421" s="9"/>
      <c r="L3421" s="9"/>
    </row>
    <row r="3422" spans="2:12" ht="15" x14ac:dyDescent="0.25">
      <c r="B3422" t="s">
        <v>2102</v>
      </c>
      <c r="C3422" t="s">
        <v>2103</v>
      </c>
      <c r="D3422" t="str">
        <f>HYPERLINK("https://rhld.insurance.arkansas.gov/NPILookup?Npi=1972759173","1972759173")</f>
        <v>1972759173</v>
      </c>
      <c r="E3422" t="s">
        <v>4636</v>
      </c>
      <c r="F3422" t="s">
        <v>12</v>
      </c>
      <c r="G3422" s="20">
        <v>1</v>
      </c>
      <c r="H3422" t="s">
        <v>4349</v>
      </c>
      <c r="I3422" t="s">
        <v>32</v>
      </c>
      <c r="J3422" s="9"/>
      <c r="K3422" s="9"/>
      <c r="L3422" s="9"/>
    </row>
    <row r="3423" spans="2:12" ht="15" x14ac:dyDescent="0.25">
      <c r="B3423" t="s">
        <v>2102</v>
      </c>
      <c r="C3423" t="s">
        <v>2103</v>
      </c>
      <c r="D3423" t="str">
        <f>HYPERLINK("https://rhld.insurance.arkansas.gov/NPILookup?Npi=1972828119","1972828119")</f>
        <v>1972828119</v>
      </c>
      <c r="E3423" t="s">
        <v>3370</v>
      </c>
      <c r="F3423" t="s">
        <v>12</v>
      </c>
      <c r="G3423" s="20">
        <v>1</v>
      </c>
      <c r="H3423" t="s">
        <v>4338</v>
      </c>
      <c r="I3423" t="s">
        <v>32</v>
      </c>
      <c r="J3423" s="9"/>
      <c r="K3423" s="9"/>
      <c r="L3423" s="9"/>
    </row>
    <row r="3424" spans="2:12" ht="15" x14ac:dyDescent="0.25">
      <c r="B3424" t="s">
        <v>2102</v>
      </c>
      <c r="C3424" t="s">
        <v>2103</v>
      </c>
      <c r="D3424" t="str">
        <f>HYPERLINK("https://rhld.insurance.arkansas.gov/NPILookup?Npi=1972999423","1972999423")</f>
        <v>1972999423</v>
      </c>
      <c r="E3424" t="s">
        <v>3372</v>
      </c>
      <c r="F3424" t="s">
        <v>12</v>
      </c>
      <c r="G3424" s="20">
        <v>1</v>
      </c>
      <c r="H3424" t="s">
        <v>4349</v>
      </c>
      <c r="I3424" t="s">
        <v>4357</v>
      </c>
      <c r="J3424" s="9"/>
      <c r="K3424" s="9"/>
      <c r="L3424" s="9"/>
    </row>
    <row r="3425" spans="2:12" ht="15" x14ac:dyDescent="0.25">
      <c r="B3425" t="s">
        <v>2102</v>
      </c>
      <c r="C3425" t="s">
        <v>2103</v>
      </c>
      <c r="D3425" t="str">
        <f>HYPERLINK("https://rhld.insurance.arkansas.gov/NPILookup?Npi=1982022885","1982022885")</f>
        <v>1982022885</v>
      </c>
      <c r="E3425" t="s">
        <v>4637</v>
      </c>
      <c r="F3425" t="s">
        <v>12</v>
      </c>
      <c r="G3425" s="20">
        <v>1</v>
      </c>
      <c r="H3425" t="s">
        <v>4349</v>
      </c>
      <c r="I3425" t="s">
        <v>32</v>
      </c>
      <c r="J3425" s="9"/>
      <c r="K3425" s="9"/>
      <c r="L3425" s="9"/>
    </row>
    <row r="3426" spans="2:12" ht="15" x14ac:dyDescent="0.25">
      <c r="B3426" t="s">
        <v>2102</v>
      </c>
      <c r="C3426" t="s">
        <v>2103</v>
      </c>
      <c r="D3426" t="str">
        <f>HYPERLINK("https://rhld.insurance.arkansas.gov/NPILookup?Npi=1982031514","1982031514")</f>
        <v>1982031514</v>
      </c>
      <c r="E3426" t="s">
        <v>3373</v>
      </c>
      <c r="F3426" t="s">
        <v>12</v>
      </c>
      <c r="G3426" s="20">
        <v>1</v>
      </c>
      <c r="H3426" t="s">
        <v>4338</v>
      </c>
      <c r="I3426" t="s">
        <v>32</v>
      </c>
      <c r="J3426" s="9"/>
      <c r="K3426" s="9"/>
      <c r="L3426" s="9"/>
    </row>
    <row r="3427" spans="2:12" ht="15" x14ac:dyDescent="0.25">
      <c r="B3427" t="s">
        <v>2102</v>
      </c>
      <c r="C3427" t="s">
        <v>2103</v>
      </c>
      <c r="D3427" t="str">
        <f>HYPERLINK("https://rhld.insurance.arkansas.gov/NPILookup?Npi=1982135000","1982135000")</f>
        <v>1982135000</v>
      </c>
      <c r="E3427" t="s">
        <v>3375</v>
      </c>
      <c r="F3427" t="s">
        <v>12</v>
      </c>
      <c r="G3427" s="20">
        <v>1</v>
      </c>
      <c r="H3427" t="s">
        <v>4338</v>
      </c>
      <c r="I3427" t="s">
        <v>32</v>
      </c>
      <c r="J3427" s="9"/>
      <c r="K3427" s="9"/>
      <c r="L3427" s="9"/>
    </row>
    <row r="3428" spans="2:12" ht="15" x14ac:dyDescent="0.25">
      <c r="B3428" t="s">
        <v>2102</v>
      </c>
      <c r="C3428" t="s">
        <v>2103</v>
      </c>
      <c r="D3428" t="str">
        <f>HYPERLINK("https://rhld.insurance.arkansas.gov/NPILookup?Npi=1982197653","1982197653")</f>
        <v>1982197653</v>
      </c>
      <c r="E3428" t="s">
        <v>3376</v>
      </c>
      <c r="F3428" t="s">
        <v>12</v>
      </c>
      <c r="G3428" s="20">
        <v>1</v>
      </c>
      <c r="H3428" t="s">
        <v>4349</v>
      </c>
      <c r="I3428" t="s">
        <v>4357</v>
      </c>
      <c r="J3428" s="9"/>
      <c r="K3428" s="9"/>
      <c r="L3428" s="9"/>
    </row>
    <row r="3429" spans="2:12" ht="15" x14ac:dyDescent="0.25">
      <c r="B3429" t="s">
        <v>2102</v>
      </c>
      <c r="C3429" t="s">
        <v>2103</v>
      </c>
      <c r="D3429" t="str">
        <f>HYPERLINK("https://rhld.insurance.arkansas.gov/NPILookup?Npi=1982385118","1982385118")</f>
        <v>1982385118</v>
      </c>
      <c r="E3429" t="s">
        <v>3377</v>
      </c>
      <c r="F3429" t="s">
        <v>13</v>
      </c>
      <c r="G3429" s="20">
        <v>2</v>
      </c>
      <c r="H3429" t="s">
        <v>439</v>
      </c>
      <c r="I3429" t="s">
        <v>4357</v>
      </c>
      <c r="J3429" s="9"/>
      <c r="K3429" s="9"/>
      <c r="L3429" s="9"/>
    </row>
    <row r="3430" spans="2:12" ht="15" x14ac:dyDescent="0.25">
      <c r="B3430" t="s">
        <v>2102</v>
      </c>
      <c r="C3430" t="s">
        <v>2103</v>
      </c>
      <c r="D3430" t="str">
        <f>HYPERLINK("https://rhld.insurance.arkansas.gov/NPILookup?Npi=1982417234","1982417234")</f>
        <v>1982417234</v>
      </c>
      <c r="E3430" t="s">
        <v>3378</v>
      </c>
      <c r="F3430" t="s">
        <v>13</v>
      </c>
      <c r="G3430" s="20">
        <v>2</v>
      </c>
      <c r="H3430" t="s">
        <v>439</v>
      </c>
      <c r="I3430" t="s">
        <v>4357</v>
      </c>
      <c r="J3430" s="9"/>
      <c r="K3430" s="9"/>
      <c r="L3430" s="9"/>
    </row>
    <row r="3431" spans="2:12" ht="15" x14ac:dyDescent="0.25">
      <c r="B3431" t="s">
        <v>2102</v>
      </c>
      <c r="C3431" t="s">
        <v>2103</v>
      </c>
      <c r="D3431" t="str">
        <f>HYPERLINK("https://rhld.insurance.arkansas.gov/NPILookup?Npi=1982418984","1982418984")</f>
        <v>1982418984</v>
      </c>
      <c r="E3431" t="s">
        <v>1892</v>
      </c>
      <c r="F3431" t="s">
        <v>13</v>
      </c>
      <c r="G3431" s="20">
        <v>1</v>
      </c>
      <c r="H3431" t="s">
        <v>4357</v>
      </c>
      <c r="I3431" t="s">
        <v>4357</v>
      </c>
      <c r="J3431" s="9"/>
      <c r="K3431" s="9"/>
      <c r="L3431" s="9"/>
    </row>
    <row r="3432" spans="2:12" ht="15" x14ac:dyDescent="0.25">
      <c r="B3432" t="s">
        <v>2102</v>
      </c>
      <c r="C3432" t="s">
        <v>2103</v>
      </c>
      <c r="D3432" t="str">
        <f>HYPERLINK("https://rhld.insurance.arkansas.gov/NPILookup?Npi=1982424420","1982424420")</f>
        <v>1982424420</v>
      </c>
      <c r="E3432" t="s">
        <v>3379</v>
      </c>
      <c r="F3432" t="s">
        <v>13</v>
      </c>
      <c r="G3432" s="20">
        <v>1</v>
      </c>
      <c r="H3432" t="s">
        <v>4357</v>
      </c>
      <c r="I3432" t="s">
        <v>4357</v>
      </c>
      <c r="J3432" s="9"/>
      <c r="K3432" s="9"/>
      <c r="L3432" s="9"/>
    </row>
    <row r="3433" spans="2:12" ht="15" x14ac:dyDescent="0.25">
      <c r="B3433" t="s">
        <v>2102</v>
      </c>
      <c r="C3433" t="s">
        <v>2103</v>
      </c>
      <c r="D3433" t="str">
        <f>HYPERLINK("https://rhld.insurance.arkansas.gov/NPILookup?Npi=1982630778","1982630778")</f>
        <v>1982630778</v>
      </c>
      <c r="E3433" t="s">
        <v>3380</v>
      </c>
      <c r="F3433" t="s">
        <v>12</v>
      </c>
      <c r="G3433" s="20">
        <v>1</v>
      </c>
      <c r="H3433" t="s">
        <v>4338</v>
      </c>
      <c r="I3433" t="s">
        <v>32</v>
      </c>
      <c r="J3433" s="9"/>
      <c r="K3433" s="9"/>
      <c r="L3433" s="9"/>
    </row>
    <row r="3434" spans="2:12" ht="15" x14ac:dyDescent="0.25">
      <c r="B3434" t="s">
        <v>2102</v>
      </c>
      <c r="C3434" t="s">
        <v>2103</v>
      </c>
      <c r="D3434" t="str">
        <f>HYPERLINK("https://rhld.insurance.arkansas.gov/NPILookup?Npi=1982672010","1982672010")</f>
        <v>1982672010</v>
      </c>
      <c r="E3434" t="s">
        <v>3381</v>
      </c>
      <c r="F3434" t="s">
        <v>12</v>
      </c>
      <c r="G3434" s="20">
        <v>1</v>
      </c>
      <c r="H3434" t="s">
        <v>139</v>
      </c>
      <c r="I3434" t="s">
        <v>4357</v>
      </c>
      <c r="J3434" s="9"/>
      <c r="K3434" s="9"/>
      <c r="L3434" s="9"/>
    </row>
    <row r="3435" spans="2:12" ht="15" x14ac:dyDescent="0.25">
      <c r="B3435" t="s">
        <v>2102</v>
      </c>
      <c r="C3435" t="s">
        <v>2103</v>
      </c>
      <c r="D3435" t="str">
        <f>HYPERLINK("https://rhld.insurance.arkansas.gov/NPILookup?Npi=1982703609","1982703609")</f>
        <v>1982703609</v>
      </c>
      <c r="E3435" t="s">
        <v>3382</v>
      </c>
      <c r="F3435" t="s">
        <v>12</v>
      </c>
      <c r="G3435" s="20">
        <v>1</v>
      </c>
      <c r="H3435" t="s">
        <v>4338</v>
      </c>
      <c r="I3435" t="s">
        <v>32</v>
      </c>
      <c r="J3435" s="9"/>
      <c r="K3435" s="9"/>
      <c r="L3435" s="9"/>
    </row>
    <row r="3436" spans="2:12" ht="15" x14ac:dyDescent="0.25">
      <c r="B3436" t="s">
        <v>2102</v>
      </c>
      <c r="C3436" t="s">
        <v>2103</v>
      </c>
      <c r="D3436" t="str">
        <f>HYPERLINK("https://rhld.insurance.arkansas.gov/NPILookup?Npi=1982921391","1982921391")</f>
        <v>1982921391</v>
      </c>
      <c r="E3436" t="s">
        <v>4638</v>
      </c>
      <c r="F3436" t="s">
        <v>12</v>
      </c>
      <c r="G3436" s="20">
        <v>1</v>
      </c>
      <c r="H3436" t="s">
        <v>4349</v>
      </c>
      <c r="I3436" t="s">
        <v>32</v>
      </c>
      <c r="J3436" s="9"/>
      <c r="K3436" s="9"/>
      <c r="L3436" s="9"/>
    </row>
    <row r="3437" spans="2:12" ht="15" x14ac:dyDescent="0.25">
      <c r="B3437" t="s">
        <v>2102</v>
      </c>
      <c r="C3437" t="s">
        <v>2103</v>
      </c>
      <c r="D3437" t="str">
        <f>HYPERLINK("https://rhld.insurance.arkansas.gov/NPILookup?Npi=1982938205","1982938205")</f>
        <v>1982938205</v>
      </c>
      <c r="E3437" t="s">
        <v>3383</v>
      </c>
      <c r="F3437" t="s">
        <v>12</v>
      </c>
      <c r="G3437" s="20">
        <v>1</v>
      </c>
      <c r="H3437" t="s">
        <v>4338</v>
      </c>
      <c r="I3437" t="s">
        <v>32</v>
      </c>
      <c r="J3437" s="9"/>
      <c r="K3437" s="9"/>
      <c r="L3437" s="9"/>
    </row>
    <row r="3438" spans="2:12" ht="15" x14ac:dyDescent="0.25">
      <c r="B3438" t="s">
        <v>2102</v>
      </c>
      <c r="C3438" t="s">
        <v>2103</v>
      </c>
      <c r="D3438" t="str">
        <f>HYPERLINK("https://rhld.insurance.arkansas.gov/NPILookup?Npi=1982951992","1982951992")</f>
        <v>1982951992</v>
      </c>
      <c r="E3438" t="s">
        <v>3384</v>
      </c>
      <c r="F3438" t="s">
        <v>12</v>
      </c>
      <c r="G3438" s="20">
        <v>1</v>
      </c>
      <c r="H3438" t="s">
        <v>4349</v>
      </c>
      <c r="I3438" t="s">
        <v>32</v>
      </c>
      <c r="J3438" s="9"/>
      <c r="K3438" s="9"/>
      <c r="L3438" s="9"/>
    </row>
    <row r="3439" spans="2:12" ht="15" x14ac:dyDescent="0.25">
      <c r="B3439" t="s">
        <v>2102</v>
      </c>
      <c r="C3439" t="s">
        <v>2103</v>
      </c>
      <c r="D3439" t="str">
        <f>HYPERLINK("https://rhld.insurance.arkansas.gov/NPILookup?Npi=1982990214","1982990214")</f>
        <v>1982990214</v>
      </c>
      <c r="E3439" t="s">
        <v>3385</v>
      </c>
      <c r="F3439" t="s">
        <v>13</v>
      </c>
      <c r="G3439" s="20">
        <v>1</v>
      </c>
      <c r="H3439" t="s">
        <v>4357</v>
      </c>
      <c r="I3439" t="s">
        <v>4357</v>
      </c>
      <c r="J3439" s="9"/>
      <c r="K3439" s="9"/>
      <c r="L3439" s="9"/>
    </row>
    <row r="3440" spans="2:12" ht="15" x14ac:dyDescent="0.25">
      <c r="B3440" t="s">
        <v>2102</v>
      </c>
      <c r="C3440" t="s">
        <v>2103</v>
      </c>
      <c r="D3440" t="str">
        <f>HYPERLINK("https://rhld.insurance.arkansas.gov/NPILookup?Npi=1992019129","1992019129")</f>
        <v>1992019129</v>
      </c>
      <c r="E3440" t="s">
        <v>3386</v>
      </c>
      <c r="F3440" t="s">
        <v>12</v>
      </c>
      <c r="G3440" s="20">
        <v>1</v>
      </c>
      <c r="H3440" t="s">
        <v>4349</v>
      </c>
      <c r="I3440" t="s">
        <v>32</v>
      </c>
      <c r="J3440" s="9"/>
      <c r="K3440" s="9"/>
      <c r="L3440" s="9"/>
    </row>
    <row r="3441" spans="2:12" ht="15" x14ac:dyDescent="0.25">
      <c r="B3441" t="s">
        <v>2102</v>
      </c>
      <c r="C3441" t="s">
        <v>2103</v>
      </c>
      <c r="D3441" t="str">
        <f>HYPERLINK("https://rhld.insurance.arkansas.gov/NPILookup?Npi=1992026751","1992026751")</f>
        <v>1992026751</v>
      </c>
      <c r="E3441" t="s">
        <v>3387</v>
      </c>
      <c r="F3441" t="s">
        <v>13</v>
      </c>
      <c r="G3441" s="20">
        <v>1</v>
      </c>
      <c r="H3441" t="s">
        <v>4357</v>
      </c>
      <c r="I3441" t="s">
        <v>4357</v>
      </c>
      <c r="J3441" s="9"/>
      <c r="K3441" s="9"/>
      <c r="L3441" s="9"/>
    </row>
    <row r="3442" spans="2:12" ht="15" x14ac:dyDescent="0.25">
      <c r="B3442" t="s">
        <v>2102</v>
      </c>
      <c r="C3442" t="s">
        <v>2103</v>
      </c>
      <c r="D3442" t="str">
        <f>HYPERLINK("https://rhld.insurance.arkansas.gov/NPILookup?Npi=1992121834","1992121834")</f>
        <v>1992121834</v>
      </c>
      <c r="E3442" t="s">
        <v>3388</v>
      </c>
      <c r="F3442" t="s">
        <v>13</v>
      </c>
      <c r="G3442" s="20">
        <v>1</v>
      </c>
      <c r="H3442" t="s">
        <v>87</v>
      </c>
      <c r="I3442" t="s">
        <v>32</v>
      </c>
      <c r="J3442" s="9"/>
      <c r="K3442" s="9"/>
      <c r="L3442" s="9"/>
    </row>
    <row r="3443" spans="2:12" ht="15" x14ac:dyDescent="0.25">
      <c r="B3443" t="s">
        <v>2102</v>
      </c>
      <c r="C3443" t="s">
        <v>2103</v>
      </c>
      <c r="D3443" t="str">
        <f>HYPERLINK("https://rhld.insurance.arkansas.gov/NPILookup?Npi=1992281935","1992281935")</f>
        <v>1992281935</v>
      </c>
      <c r="E3443" t="s">
        <v>3391</v>
      </c>
      <c r="F3443" t="s">
        <v>12</v>
      </c>
      <c r="G3443" s="20">
        <v>1</v>
      </c>
      <c r="H3443" t="s">
        <v>4338</v>
      </c>
      <c r="I3443" t="s">
        <v>32</v>
      </c>
      <c r="J3443" s="9"/>
      <c r="K3443" s="9"/>
      <c r="L3443" s="9"/>
    </row>
    <row r="3444" spans="2:12" ht="15" x14ac:dyDescent="0.25">
      <c r="B3444" t="s">
        <v>2102</v>
      </c>
      <c r="C3444" t="s">
        <v>2103</v>
      </c>
      <c r="D3444" t="str">
        <f>HYPERLINK("https://rhld.insurance.arkansas.gov/NPILookup?Npi=1992313159","1992313159")</f>
        <v>1992313159</v>
      </c>
      <c r="E3444" t="s">
        <v>3392</v>
      </c>
      <c r="F3444" t="s">
        <v>13</v>
      </c>
      <c r="G3444" s="20">
        <v>1</v>
      </c>
      <c r="H3444" t="s">
        <v>4357</v>
      </c>
      <c r="I3444" t="s">
        <v>4357</v>
      </c>
      <c r="J3444" s="9"/>
      <c r="K3444" s="9"/>
      <c r="L3444" s="9"/>
    </row>
    <row r="3445" spans="2:12" ht="15" x14ac:dyDescent="0.25">
      <c r="B3445" t="s">
        <v>2102</v>
      </c>
      <c r="C3445" t="s">
        <v>2103</v>
      </c>
      <c r="D3445" t="str">
        <f>HYPERLINK("https://rhld.insurance.arkansas.gov/NPILookup?Npi=1992486161","1992486161")</f>
        <v>1992486161</v>
      </c>
      <c r="E3445" t="s">
        <v>3394</v>
      </c>
      <c r="F3445" t="s">
        <v>13</v>
      </c>
      <c r="G3445" s="20">
        <v>2</v>
      </c>
      <c r="H3445" t="s">
        <v>439</v>
      </c>
      <c r="I3445" t="s">
        <v>4357</v>
      </c>
      <c r="J3445" s="9"/>
      <c r="K3445" s="9"/>
      <c r="L3445" s="9"/>
    </row>
    <row r="3446" spans="2:12" ht="15" x14ac:dyDescent="0.25">
      <c r="B3446" t="s">
        <v>2102</v>
      </c>
      <c r="C3446" t="s">
        <v>2103</v>
      </c>
      <c r="D3446" t="str">
        <f>HYPERLINK("https://rhld.insurance.arkansas.gov/NPILookup?Npi=1992518245","1992518245")</f>
        <v>1992518245</v>
      </c>
      <c r="E3446" t="s">
        <v>3395</v>
      </c>
      <c r="F3446" t="s">
        <v>13</v>
      </c>
      <c r="G3446" s="20">
        <v>1</v>
      </c>
      <c r="H3446" t="s">
        <v>4357</v>
      </c>
      <c r="I3446" t="s">
        <v>4357</v>
      </c>
      <c r="J3446" s="9"/>
      <c r="K3446" s="9"/>
      <c r="L3446" s="9"/>
    </row>
    <row r="3447" spans="2:12" ht="15" x14ac:dyDescent="0.25">
      <c r="B3447" t="s">
        <v>2102</v>
      </c>
      <c r="C3447" t="s">
        <v>2103</v>
      </c>
      <c r="D3447" t="str">
        <f>HYPERLINK("https://rhld.insurance.arkansas.gov/NPILookup?Npi=1992523864","1992523864")</f>
        <v>1992523864</v>
      </c>
      <c r="E3447" t="s">
        <v>1895</v>
      </c>
      <c r="F3447" t="s">
        <v>13</v>
      </c>
      <c r="G3447" s="20">
        <v>1</v>
      </c>
      <c r="H3447" t="s">
        <v>4357</v>
      </c>
      <c r="I3447" t="s">
        <v>4357</v>
      </c>
      <c r="J3447" s="9"/>
      <c r="K3447" s="9"/>
      <c r="L3447" s="9"/>
    </row>
    <row r="3448" spans="2:12" ht="15" x14ac:dyDescent="0.25">
      <c r="B3448" t="s">
        <v>2102</v>
      </c>
      <c r="C3448" t="s">
        <v>2103</v>
      </c>
      <c r="D3448" t="str">
        <f>HYPERLINK("https://rhld.insurance.arkansas.gov/NPILookup?Npi=1992542450","1992542450")</f>
        <v>1992542450</v>
      </c>
      <c r="E3448" t="s">
        <v>3396</v>
      </c>
      <c r="F3448" t="s">
        <v>13</v>
      </c>
      <c r="G3448" s="20">
        <v>2</v>
      </c>
      <c r="H3448" t="s">
        <v>439</v>
      </c>
      <c r="I3448" t="s">
        <v>4357</v>
      </c>
      <c r="J3448" s="9"/>
      <c r="K3448" s="9"/>
      <c r="L3448" s="9"/>
    </row>
    <row r="3449" spans="2:12" ht="15" x14ac:dyDescent="0.25">
      <c r="B3449" t="s">
        <v>2102</v>
      </c>
      <c r="C3449" t="s">
        <v>2103</v>
      </c>
      <c r="D3449" t="str">
        <f>HYPERLINK("https://rhld.insurance.arkansas.gov/NPILookup?Npi=1992730873","1992730873")</f>
        <v>1992730873</v>
      </c>
      <c r="E3449" t="s">
        <v>3397</v>
      </c>
      <c r="F3449" t="s">
        <v>12</v>
      </c>
      <c r="G3449" s="20">
        <v>1</v>
      </c>
      <c r="H3449" t="s">
        <v>4338</v>
      </c>
      <c r="I3449" t="s">
        <v>32</v>
      </c>
      <c r="J3449" s="9"/>
      <c r="K3449" s="9"/>
      <c r="L3449" s="9"/>
    </row>
    <row r="3450" spans="2:12" ht="15" x14ac:dyDescent="0.25">
      <c r="B3450" t="s">
        <v>2102</v>
      </c>
      <c r="C3450" t="s">
        <v>2103</v>
      </c>
      <c r="D3450" t="str">
        <f>HYPERLINK("https://rhld.insurance.arkansas.gov/NPILookup?Npi=1992813679","1992813679")</f>
        <v>1992813679</v>
      </c>
      <c r="E3450" t="s">
        <v>1897</v>
      </c>
      <c r="F3450" t="s">
        <v>12</v>
      </c>
      <c r="G3450" s="20">
        <v>1</v>
      </c>
      <c r="H3450" t="s">
        <v>139</v>
      </c>
      <c r="I3450" t="s">
        <v>32</v>
      </c>
      <c r="J3450" s="9"/>
      <c r="K3450" s="9"/>
      <c r="L3450" s="9"/>
    </row>
    <row r="3451" spans="2:12" ht="15" x14ac:dyDescent="0.25">
      <c r="B3451" t="s">
        <v>2102</v>
      </c>
      <c r="C3451" t="s">
        <v>2103</v>
      </c>
      <c r="D3451" t="str">
        <f>HYPERLINK("https://rhld.insurance.arkansas.gov/NPILookup?Npi=1992817662","1992817662")</f>
        <v>1992817662</v>
      </c>
      <c r="E3451" t="s">
        <v>3398</v>
      </c>
      <c r="F3451" t="s">
        <v>12</v>
      </c>
      <c r="G3451" s="20">
        <v>1</v>
      </c>
      <c r="H3451" t="s">
        <v>4349</v>
      </c>
      <c r="I3451" t="s">
        <v>4357</v>
      </c>
      <c r="J3451" s="9"/>
      <c r="K3451" s="9"/>
      <c r="L3451" s="9"/>
    </row>
    <row r="3452" spans="2:12" ht="15" x14ac:dyDescent="0.25">
      <c r="B3452" t="s">
        <v>2102</v>
      </c>
      <c r="C3452" t="s">
        <v>2103</v>
      </c>
      <c r="D3452" t="str">
        <f>HYPERLINK("https://rhld.insurance.arkansas.gov/NPILookup?Npi=1992908560","1992908560")</f>
        <v>1992908560</v>
      </c>
      <c r="E3452" t="s">
        <v>3399</v>
      </c>
      <c r="F3452" t="s">
        <v>12</v>
      </c>
      <c r="G3452" s="20">
        <v>1</v>
      </c>
      <c r="H3452" t="s">
        <v>4349</v>
      </c>
      <c r="I3452" t="s">
        <v>4357</v>
      </c>
      <c r="J3452" s="9"/>
      <c r="K3452" s="9"/>
      <c r="L3452" s="9"/>
    </row>
    <row r="3453" spans="2:12" ht="15" x14ac:dyDescent="0.25">
      <c r="B3453" t="s">
        <v>2102</v>
      </c>
      <c r="C3453" t="s">
        <v>2103</v>
      </c>
      <c r="D3453" t="str">
        <f>HYPERLINK("https://rhld.insurance.arkansas.gov/NPILookup?Npi=1992933584","1992933584")</f>
        <v>1992933584</v>
      </c>
      <c r="E3453" t="s">
        <v>938</v>
      </c>
      <c r="F3453" t="s">
        <v>12</v>
      </c>
      <c r="G3453" s="20">
        <v>1</v>
      </c>
      <c r="H3453" t="s">
        <v>4349</v>
      </c>
      <c r="I3453" t="s">
        <v>32</v>
      </c>
      <c r="J3453" s="9"/>
      <c r="K3453" s="9"/>
      <c r="L3453" s="9"/>
    </row>
    <row r="3454" spans="2:12" ht="15" x14ac:dyDescent="0.25">
      <c r="B3454" t="s">
        <v>3400</v>
      </c>
      <c r="C3454" t="s">
        <v>3401</v>
      </c>
      <c r="D3454" t="str">
        <f>HYPERLINK("https://rhld.insurance.arkansas.gov/NPILookup?Npi=1003052010","1003052010")</f>
        <v>1003052010</v>
      </c>
      <c r="E3454" t="s">
        <v>3402</v>
      </c>
      <c r="F3454" t="s">
        <v>13</v>
      </c>
      <c r="G3454" s="20">
        <v>1</v>
      </c>
      <c r="H3454" t="s">
        <v>87</v>
      </c>
      <c r="I3454" t="s">
        <v>4357</v>
      </c>
      <c r="J3454" s="9"/>
      <c r="K3454" s="9"/>
      <c r="L3454" s="9"/>
    </row>
    <row r="3455" spans="2:12" ht="15" x14ac:dyDescent="0.25">
      <c r="B3455" t="s">
        <v>3400</v>
      </c>
      <c r="C3455" t="s">
        <v>3401</v>
      </c>
      <c r="D3455" t="str">
        <f>HYPERLINK("https://rhld.insurance.arkansas.gov/NPILookup?Npi=1003083205","1003083205")</f>
        <v>1003083205</v>
      </c>
      <c r="E3455" t="s">
        <v>2104</v>
      </c>
      <c r="F3455" t="s">
        <v>13</v>
      </c>
      <c r="G3455" s="20">
        <v>1</v>
      </c>
      <c r="H3455" t="s">
        <v>3403</v>
      </c>
      <c r="I3455" t="s">
        <v>4357</v>
      </c>
      <c r="J3455" s="9"/>
      <c r="K3455" s="9"/>
      <c r="L3455" s="9"/>
    </row>
    <row r="3456" spans="2:12" ht="15" x14ac:dyDescent="0.25">
      <c r="B3456" t="s">
        <v>3400</v>
      </c>
      <c r="C3456" t="s">
        <v>3401</v>
      </c>
      <c r="D3456" t="str">
        <f>HYPERLINK("https://rhld.insurance.arkansas.gov/NPILookup?Npi=1003103490","1003103490")</f>
        <v>1003103490</v>
      </c>
      <c r="E3456" t="s">
        <v>2105</v>
      </c>
      <c r="F3456" t="s">
        <v>13</v>
      </c>
      <c r="G3456" s="20">
        <v>1</v>
      </c>
      <c r="H3456" t="s">
        <v>3403</v>
      </c>
      <c r="I3456" t="s">
        <v>4357</v>
      </c>
      <c r="J3456" s="9"/>
      <c r="K3456" s="9"/>
      <c r="L3456" s="9"/>
    </row>
    <row r="3457" spans="2:12" ht="15" x14ac:dyDescent="0.25">
      <c r="B3457" t="s">
        <v>3400</v>
      </c>
      <c r="C3457" t="s">
        <v>3401</v>
      </c>
      <c r="D3457" t="str">
        <f>HYPERLINK("https://rhld.insurance.arkansas.gov/NPILookup?Npi=1003128844","1003128844")</f>
        <v>1003128844</v>
      </c>
      <c r="E3457" t="s">
        <v>2106</v>
      </c>
      <c r="F3457" t="s">
        <v>13</v>
      </c>
      <c r="G3457" s="20">
        <v>1</v>
      </c>
      <c r="H3457" t="s">
        <v>4357</v>
      </c>
      <c r="I3457" t="s">
        <v>4357</v>
      </c>
      <c r="J3457" s="9"/>
      <c r="K3457" s="9"/>
      <c r="L3457" s="9"/>
    </row>
    <row r="3458" spans="2:12" ht="15" x14ac:dyDescent="0.25">
      <c r="B3458" t="s">
        <v>3400</v>
      </c>
      <c r="C3458" t="s">
        <v>3401</v>
      </c>
      <c r="D3458" t="str">
        <f>HYPERLINK("https://rhld.insurance.arkansas.gov/NPILookup?Npi=1003133828","1003133828")</f>
        <v>1003133828</v>
      </c>
      <c r="E3458" t="s">
        <v>3404</v>
      </c>
      <c r="F3458" t="s">
        <v>12</v>
      </c>
      <c r="G3458" s="20">
        <v>1</v>
      </c>
      <c r="H3458" t="s">
        <v>4338</v>
      </c>
      <c r="I3458" t="s">
        <v>32</v>
      </c>
      <c r="J3458" s="9"/>
      <c r="K3458" s="9"/>
      <c r="L3458" s="9"/>
    </row>
    <row r="3459" spans="2:12" ht="15" x14ac:dyDescent="0.25">
      <c r="B3459" t="s">
        <v>3400</v>
      </c>
      <c r="C3459" t="s">
        <v>3401</v>
      </c>
      <c r="D3459" t="str">
        <f>HYPERLINK("https://rhld.insurance.arkansas.gov/NPILookup?Npi=1003140963","1003140963")</f>
        <v>1003140963</v>
      </c>
      <c r="E3459" t="s">
        <v>3405</v>
      </c>
      <c r="F3459" t="s">
        <v>13</v>
      </c>
      <c r="G3459" s="20">
        <v>1</v>
      </c>
      <c r="H3459" t="s">
        <v>3403</v>
      </c>
      <c r="I3459" t="s">
        <v>4357</v>
      </c>
      <c r="J3459" s="9"/>
      <c r="K3459" s="9"/>
      <c r="L3459" s="9"/>
    </row>
    <row r="3460" spans="2:12" ht="15" x14ac:dyDescent="0.25">
      <c r="B3460" t="s">
        <v>3400</v>
      </c>
      <c r="C3460" t="s">
        <v>3401</v>
      </c>
      <c r="D3460" t="str">
        <f>HYPERLINK("https://rhld.insurance.arkansas.gov/NPILookup?Npi=1003250945","1003250945")</f>
        <v>1003250945</v>
      </c>
      <c r="E3460" t="s">
        <v>3406</v>
      </c>
      <c r="F3460" t="s">
        <v>13</v>
      </c>
      <c r="G3460" s="20">
        <v>1</v>
      </c>
      <c r="H3460" t="s">
        <v>3403</v>
      </c>
      <c r="I3460" t="s">
        <v>32</v>
      </c>
      <c r="J3460" s="9"/>
      <c r="K3460" s="9"/>
      <c r="L3460" s="9"/>
    </row>
    <row r="3461" spans="2:12" ht="15" x14ac:dyDescent="0.25">
      <c r="B3461" t="s">
        <v>3400</v>
      </c>
      <c r="C3461" t="s">
        <v>3401</v>
      </c>
      <c r="D3461" t="str">
        <f>HYPERLINK("https://rhld.insurance.arkansas.gov/NPILookup?Npi=1003290826","1003290826")</f>
        <v>1003290826</v>
      </c>
      <c r="E3461" t="s">
        <v>2107</v>
      </c>
      <c r="F3461" t="s">
        <v>13</v>
      </c>
      <c r="G3461" s="20">
        <v>1</v>
      </c>
      <c r="H3461" t="s">
        <v>3403</v>
      </c>
      <c r="I3461" t="s">
        <v>4357</v>
      </c>
      <c r="J3461" s="9"/>
      <c r="K3461" s="9"/>
      <c r="L3461" s="9"/>
    </row>
    <row r="3462" spans="2:12" ht="15" x14ac:dyDescent="0.25">
      <c r="B3462" t="s">
        <v>3400</v>
      </c>
      <c r="C3462" t="s">
        <v>3401</v>
      </c>
      <c r="D3462" t="str">
        <f>HYPERLINK("https://rhld.insurance.arkansas.gov/NPILookup?Npi=1003304213","1003304213")</f>
        <v>1003304213</v>
      </c>
      <c r="E3462" t="s">
        <v>3407</v>
      </c>
      <c r="F3462" t="s">
        <v>13</v>
      </c>
      <c r="G3462" s="20">
        <v>1</v>
      </c>
      <c r="H3462" t="s">
        <v>3403</v>
      </c>
      <c r="I3462" t="s">
        <v>32</v>
      </c>
      <c r="J3462" s="9"/>
      <c r="K3462" s="9"/>
      <c r="L3462" s="9"/>
    </row>
    <row r="3463" spans="2:12" ht="15" x14ac:dyDescent="0.25">
      <c r="B3463" t="s">
        <v>3400</v>
      </c>
      <c r="C3463" t="s">
        <v>3401</v>
      </c>
      <c r="D3463" t="str">
        <f>HYPERLINK("https://rhld.insurance.arkansas.gov/NPILookup?Npi=1003426396","1003426396")</f>
        <v>1003426396</v>
      </c>
      <c r="E3463" t="s">
        <v>3408</v>
      </c>
      <c r="F3463" t="s">
        <v>13</v>
      </c>
      <c r="G3463" s="20">
        <v>1</v>
      </c>
      <c r="H3463" t="s">
        <v>3403</v>
      </c>
      <c r="I3463" t="s">
        <v>32</v>
      </c>
      <c r="J3463" s="9"/>
      <c r="K3463" s="9"/>
      <c r="L3463" s="9"/>
    </row>
    <row r="3464" spans="2:12" ht="15" x14ac:dyDescent="0.25">
      <c r="B3464" t="s">
        <v>3400</v>
      </c>
      <c r="C3464" t="s">
        <v>3401</v>
      </c>
      <c r="D3464" t="str">
        <f>HYPERLINK("https://rhld.insurance.arkansas.gov/NPILookup?Npi=1003426412","1003426412")</f>
        <v>1003426412</v>
      </c>
      <c r="E3464" t="s">
        <v>3409</v>
      </c>
      <c r="F3464" t="s">
        <v>13</v>
      </c>
      <c r="G3464" s="20">
        <v>1</v>
      </c>
      <c r="H3464" t="s">
        <v>4357</v>
      </c>
      <c r="I3464" t="s">
        <v>4357</v>
      </c>
      <c r="J3464" s="9"/>
      <c r="K3464" s="9"/>
      <c r="L3464" s="9"/>
    </row>
    <row r="3465" spans="2:12" ht="15" x14ac:dyDescent="0.25">
      <c r="B3465" t="s">
        <v>3400</v>
      </c>
      <c r="C3465" t="s">
        <v>3401</v>
      </c>
      <c r="D3465" t="str">
        <f>HYPERLINK("https://rhld.insurance.arkansas.gov/NPILookup?Npi=1003527011","1003527011")</f>
        <v>1003527011</v>
      </c>
      <c r="E3465" t="s">
        <v>2112</v>
      </c>
      <c r="F3465" t="s">
        <v>13</v>
      </c>
      <c r="G3465" s="20">
        <v>1</v>
      </c>
      <c r="H3465" t="s">
        <v>4357</v>
      </c>
      <c r="I3465" t="s">
        <v>4357</v>
      </c>
      <c r="J3465" s="9"/>
      <c r="K3465" s="9"/>
      <c r="L3465" s="9"/>
    </row>
    <row r="3466" spans="2:12" ht="15" x14ac:dyDescent="0.25">
      <c r="B3466" t="s">
        <v>3400</v>
      </c>
      <c r="C3466" t="s">
        <v>3401</v>
      </c>
      <c r="D3466" t="str">
        <f>HYPERLINK("https://rhld.insurance.arkansas.gov/NPILookup?Npi=1003541327","1003541327")</f>
        <v>1003541327</v>
      </c>
      <c r="E3466" t="s">
        <v>3410</v>
      </c>
      <c r="F3466" t="s">
        <v>13</v>
      </c>
      <c r="G3466" s="20">
        <v>1</v>
      </c>
      <c r="H3466" t="s">
        <v>3403</v>
      </c>
      <c r="I3466" t="s">
        <v>32</v>
      </c>
      <c r="J3466" s="9"/>
      <c r="K3466" s="9"/>
      <c r="L3466" s="9"/>
    </row>
    <row r="3467" spans="2:12" ht="15" x14ac:dyDescent="0.25">
      <c r="B3467" t="s">
        <v>3400</v>
      </c>
      <c r="C3467" t="s">
        <v>3401</v>
      </c>
      <c r="D3467" t="str">
        <f>HYPERLINK("https://rhld.insurance.arkansas.gov/NPILookup?Npi=1003654526","1003654526")</f>
        <v>1003654526</v>
      </c>
      <c r="E3467" t="s">
        <v>2115</v>
      </c>
      <c r="F3467" t="s">
        <v>13</v>
      </c>
      <c r="G3467" s="20">
        <v>1</v>
      </c>
      <c r="H3467" t="s">
        <v>4357</v>
      </c>
      <c r="I3467" t="s">
        <v>4357</v>
      </c>
      <c r="J3467" s="9"/>
      <c r="K3467" s="9"/>
      <c r="L3467" s="9"/>
    </row>
    <row r="3468" spans="2:12" ht="15" x14ac:dyDescent="0.25">
      <c r="B3468" t="s">
        <v>3400</v>
      </c>
      <c r="C3468" t="s">
        <v>3401</v>
      </c>
      <c r="D3468" t="str">
        <f>HYPERLINK("https://rhld.insurance.arkansas.gov/NPILookup?Npi=1003676479","1003676479")</f>
        <v>1003676479</v>
      </c>
      <c r="E3468" t="s">
        <v>2047</v>
      </c>
      <c r="F3468" t="s">
        <v>13</v>
      </c>
      <c r="G3468" s="20">
        <v>1</v>
      </c>
      <c r="H3468" t="s">
        <v>4357</v>
      </c>
      <c r="I3468" t="s">
        <v>4357</v>
      </c>
      <c r="J3468" s="9"/>
      <c r="K3468" s="9"/>
      <c r="L3468" s="9"/>
    </row>
    <row r="3469" spans="2:12" ht="15" x14ac:dyDescent="0.25">
      <c r="B3469" t="s">
        <v>3400</v>
      </c>
      <c r="C3469" t="s">
        <v>3401</v>
      </c>
      <c r="D3469" t="str">
        <f>HYPERLINK("https://rhld.insurance.arkansas.gov/NPILookup?Npi=1003680125","1003680125")</f>
        <v>1003680125</v>
      </c>
      <c r="E3469" t="s">
        <v>2117</v>
      </c>
      <c r="F3469" t="s">
        <v>13</v>
      </c>
      <c r="G3469" s="20">
        <v>1</v>
      </c>
      <c r="H3469" t="s">
        <v>4357</v>
      </c>
      <c r="I3469" t="s">
        <v>4357</v>
      </c>
      <c r="J3469" s="9"/>
      <c r="K3469" s="9"/>
      <c r="L3469" s="9"/>
    </row>
    <row r="3470" spans="2:12" ht="15" x14ac:dyDescent="0.25">
      <c r="B3470" t="s">
        <v>3400</v>
      </c>
      <c r="C3470" t="s">
        <v>3401</v>
      </c>
      <c r="D3470" t="str">
        <f>HYPERLINK("https://rhld.insurance.arkansas.gov/NPILookup?Npi=1003688474","1003688474")</f>
        <v>1003688474</v>
      </c>
      <c r="E3470" t="s">
        <v>3411</v>
      </c>
      <c r="F3470" t="s">
        <v>13</v>
      </c>
      <c r="G3470" s="20">
        <v>1</v>
      </c>
      <c r="H3470" t="s">
        <v>3403</v>
      </c>
      <c r="I3470" t="s">
        <v>4357</v>
      </c>
      <c r="J3470" s="9"/>
      <c r="K3470" s="9"/>
      <c r="L3470" s="9"/>
    </row>
    <row r="3471" spans="2:12" ht="15" x14ac:dyDescent="0.25">
      <c r="B3471" t="s">
        <v>3400</v>
      </c>
      <c r="C3471" t="s">
        <v>3401</v>
      </c>
      <c r="D3471" t="str">
        <f>HYPERLINK("https://rhld.insurance.arkansas.gov/NPILookup?Npi=1003812504","1003812504")</f>
        <v>1003812504</v>
      </c>
      <c r="E3471" t="s">
        <v>3412</v>
      </c>
      <c r="F3471" t="s">
        <v>12</v>
      </c>
      <c r="G3471" s="20">
        <v>1</v>
      </c>
      <c r="H3471" t="s">
        <v>4338</v>
      </c>
      <c r="I3471" t="s">
        <v>4357</v>
      </c>
      <c r="J3471" s="9"/>
      <c r="K3471" s="9"/>
      <c r="L3471" s="9"/>
    </row>
    <row r="3472" spans="2:12" ht="15" x14ac:dyDescent="0.25">
      <c r="B3472" t="s">
        <v>3400</v>
      </c>
      <c r="C3472" t="s">
        <v>3401</v>
      </c>
      <c r="D3472" t="str">
        <f>HYPERLINK("https://rhld.insurance.arkansas.gov/NPILookup?Npi=1003895541","1003895541")</f>
        <v>1003895541</v>
      </c>
      <c r="E3472" t="s">
        <v>3413</v>
      </c>
      <c r="F3472" t="s">
        <v>13</v>
      </c>
      <c r="G3472" s="20">
        <v>1</v>
      </c>
      <c r="H3472" t="s">
        <v>3403</v>
      </c>
      <c r="I3472" t="s">
        <v>32</v>
      </c>
      <c r="J3472" s="9"/>
      <c r="K3472" s="9"/>
      <c r="L3472" s="9"/>
    </row>
    <row r="3473" spans="2:12" ht="15" x14ac:dyDescent="0.25">
      <c r="B3473" t="s">
        <v>3400</v>
      </c>
      <c r="C3473" t="s">
        <v>3401</v>
      </c>
      <c r="D3473" t="str">
        <f>HYPERLINK("https://rhld.insurance.arkansas.gov/NPILookup?Npi=1013083781","1013083781")</f>
        <v>1013083781</v>
      </c>
      <c r="E3473" t="s">
        <v>2119</v>
      </c>
      <c r="F3473" t="s">
        <v>13</v>
      </c>
      <c r="G3473" s="20">
        <v>1</v>
      </c>
      <c r="H3473" t="s">
        <v>3403</v>
      </c>
      <c r="I3473" t="s">
        <v>4357</v>
      </c>
      <c r="J3473" s="9"/>
      <c r="K3473" s="9"/>
      <c r="L3473" s="9"/>
    </row>
    <row r="3474" spans="2:12" ht="15" x14ac:dyDescent="0.25">
      <c r="B3474" t="s">
        <v>3400</v>
      </c>
      <c r="C3474" t="s">
        <v>3401</v>
      </c>
      <c r="D3474" t="str">
        <f>HYPERLINK("https://rhld.insurance.arkansas.gov/NPILookup?Npi=1013141621","1013141621")</f>
        <v>1013141621</v>
      </c>
      <c r="E3474" t="s">
        <v>357</v>
      </c>
      <c r="F3474" t="s">
        <v>12</v>
      </c>
      <c r="G3474" s="20">
        <v>1</v>
      </c>
      <c r="H3474" t="s">
        <v>4338</v>
      </c>
      <c r="I3474" t="s">
        <v>32</v>
      </c>
      <c r="J3474" s="9"/>
      <c r="K3474" s="9"/>
      <c r="L3474" s="9"/>
    </row>
    <row r="3475" spans="2:12" ht="15" x14ac:dyDescent="0.25">
      <c r="B3475" t="s">
        <v>3400</v>
      </c>
      <c r="C3475" t="s">
        <v>3401</v>
      </c>
      <c r="D3475" t="str">
        <f>HYPERLINK("https://rhld.insurance.arkansas.gov/NPILookup?Npi=1013149798","1013149798")</f>
        <v>1013149798</v>
      </c>
      <c r="E3475" t="s">
        <v>3414</v>
      </c>
      <c r="F3475" t="s">
        <v>13</v>
      </c>
      <c r="G3475" s="20">
        <v>1</v>
      </c>
      <c r="H3475" t="s">
        <v>3403</v>
      </c>
      <c r="I3475" t="s">
        <v>32</v>
      </c>
      <c r="J3475" s="9"/>
      <c r="K3475" s="9"/>
      <c r="L3475" s="9"/>
    </row>
    <row r="3476" spans="2:12" ht="15" x14ac:dyDescent="0.25">
      <c r="B3476" t="s">
        <v>3400</v>
      </c>
      <c r="C3476" t="s">
        <v>3401</v>
      </c>
      <c r="D3476" t="str">
        <f>HYPERLINK("https://rhld.insurance.arkansas.gov/NPILookup?Npi=1013159383","1013159383")</f>
        <v>1013159383</v>
      </c>
      <c r="E3476" t="s">
        <v>2120</v>
      </c>
      <c r="F3476" t="s">
        <v>13</v>
      </c>
      <c r="G3476" s="20">
        <v>1</v>
      </c>
      <c r="H3476" t="s">
        <v>3403</v>
      </c>
      <c r="I3476" t="s">
        <v>4357</v>
      </c>
      <c r="J3476" s="9"/>
      <c r="K3476" s="9"/>
      <c r="L3476" s="9"/>
    </row>
    <row r="3477" spans="2:12" ht="15" x14ac:dyDescent="0.25">
      <c r="B3477" t="s">
        <v>3400</v>
      </c>
      <c r="C3477" t="s">
        <v>3401</v>
      </c>
      <c r="D3477" t="str">
        <f>HYPERLINK("https://rhld.insurance.arkansas.gov/NPILookup?Npi=1013206747","1013206747")</f>
        <v>1013206747</v>
      </c>
      <c r="E3477" t="s">
        <v>2121</v>
      </c>
      <c r="F3477" t="s">
        <v>13</v>
      </c>
      <c r="G3477" s="20">
        <v>1</v>
      </c>
      <c r="H3477" t="s">
        <v>4357</v>
      </c>
      <c r="I3477" t="s">
        <v>4357</v>
      </c>
      <c r="J3477" s="9"/>
      <c r="K3477" s="9"/>
      <c r="L3477" s="9"/>
    </row>
    <row r="3478" spans="2:12" ht="15" x14ac:dyDescent="0.25">
      <c r="B3478" t="s">
        <v>3400</v>
      </c>
      <c r="C3478" t="s">
        <v>3401</v>
      </c>
      <c r="D3478" t="str">
        <f>HYPERLINK("https://rhld.insurance.arkansas.gov/NPILookup?Npi=1013279918","1013279918")</f>
        <v>1013279918</v>
      </c>
      <c r="E3478" t="s">
        <v>3415</v>
      </c>
      <c r="F3478" t="s">
        <v>13</v>
      </c>
      <c r="G3478" s="20">
        <v>1</v>
      </c>
      <c r="H3478" t="s">
        <v>3403</v>
      </c>
      <c r="I3478" t="s">
        <v>4357</v>
      </c>
      <c r="J3478" s="9"/>
      <c r="K3478" s="9"/>
      <c r="L3478" s="9"/>
    </row>
    <row r="3479" spans="2:12" ht="15" x14ac:dyDescent="0.25">
      <c r="B3479" t="s">
        <v>3400</v>
      </c>
      <c r="C3479" t="s">
        <v>3401</v>
      </c>
      <c r="D3479" t="str">
        <f>HYPERLINK("https://rhld.insurance.arkansas.gov/NPILookup?Npi=1013336296","1013336296")</f>
        <v>1013336296</v>
      </c>
      <c r="E3479" t="s">
        <v>3416</v>
      </c>
      <c r="F3479" t="s">
        <v>13</v>
      </c>
      <c r="G3479" s="20">
        <v>1</v>
      </c>
      <c r="H3479" t="s">
        <v>3403</v>
      </c>
      <c r="I3479" t="s">
        <v>32</v>
      </c>
      <c r="J3479" s="9"/>
      <c r="K3479" s="9"/>
      <c r="L3479" s="9"/>
    </row>
    <row r="3480" spans="2:12" ht="15" x14ac:dyDescent="0.25">
      <c r="B3480" t="s">
        <v>3400</v>
      </c>
      <c r="C3480" t="s">
        <v>3401</v>
      </c>
      <c r="D3480" t="str">
        <f>HYPERLINK("https://rhld.insurance.arkansas.gov/NPILookup?Npi=1013435718","1013435718")</f>
        <v>1013435718</v>
      </c>
      <c r="E3480" t="s">
        <v>2129</v>
      </c>
      <c r="F3480" t="s">
        <v>13</v>
      </c>
      <c r="G3480" s="20">
        <v>1</v>
      </c>
      <c r="H3480" t="s">
        <v>4357</v>
      </c>
      <c r="I3480" t="s">
        <v>4357</v>
      </c>
      <c r="J3480" s="9"/>
      <c r="K3480" s="9"/>
      <c r="L3480" s="9"/>
    </row>
    <row r="3481" spans="2:12" ht="15" x14ac:dyDescent="0.25">
      <c r="B3481" t="s">
        <v>3400</v>
      </c>
      <c r="C3481" t="s">
        <v>3401</v>
      </c>
      <c r="D3481" t="str">
        <f>HYPERLINK("https://rhld.insurance.arkansas.gov/NPILookup?Npi=1013493865","1013493865")</f>
        <v>1013493865</v>
      </c>
      <c r="E3481" t="s">
        <v>2131</v>
      </c>
      <c r="F3481" t="s">
        <v>13</v>
      </c>
      <c r="G3481" s="20">
        <v>1</v>
      </c>
      <c r="H3481" t="s">
        <v>3403</v>
      </c>
      <c r="I3481" t="s">
        <v>4357</v>
      </c>
      <c r="J3481" s="9"/>
      <c r="K3481" s="9"/>
      <c r="L3481" s="9"/>
    </row>
    <row r="3482" spans="2:12" ht="15" x14ac:dyDescent="0.25">
      <c r="B3482" t="s">
        <v>3400</v>
      </c>
      <c r="C3482" t="s">
        <v>3401</v>
      </c>
      <c r="D3482" t="str">
        <f>HYPERLINK("https://rhld.insurance.arkansas.gov/NPILookup?Npi=1013563493","1013563493")</f>
        <v>1013563493</v>
      </c>
      <c r="E3482" t="s">
        <v>3417</v>
      </c>
      <c r="F3482" t="s">
        <v>13</v>
      </c>
      <c r="G3482" s="20">
        <v>1</v>
      </c>
      <c r="H3482" t="s">
        <v>3403</v>
      </c>
      <c r="I3482" t="s">
        <v>32</v>
      </c>
      <c r="J3482" s="9"/>
      <c r="K3482" s="9"/>
      <c r="L3482" s="9"/>
    </row>
    <row r="3483" spans="2:12" ht="15" x14ac:dyDescent="0.25">
      <c r="B3483" t="s">
        <v>3400</v>
      </c>
      <c r="C3483" t="s">
        <v>3401</v>
      </c>
      <c r="D3483" t="str">
        <f>HYPERLINK("https://rhld.insurance.arkansas.gov/NPILookup?Npi=1013568013","1013568013")</f>
        <v>1013568013</v>
      </c>
      <c r="E3483" t="s">
        <v>2132</v>
      </c>
      <c r="F3483" t="s">
        <v>13</v>
      </c>
      <c r="G3483" s="20">
        <v>1</v>
      </c>
      <c r="H3483" t="s">
        <v>4357</v>
      </c>
      <c r="I3483" t="s">
        <v>4357</v>
      </c>
      <c r="J3483" s="9"/>
      <c r="K3483" s="9"/>
      <c r="L3483" s="9"/>
    </row>
    <row r="3484" spans="2:12" ht="15" x14ac:dyDescent="0.25">
      <c r="B3484" t="s">
        <v>3400</v>
      </c>
      <c r="C3484" t="s">
        <v>3401</v>
      </c>
      <c r="D3484" t="str">
        <f>HYPERLINK("https://rhld.insurance.arkansas.gov/NPILookup?Npi=1013684760","1013684760")</f>
        <v>1013684760</v>
      </c>
      <c r="E3484" t="s">
        <v>2134</v>
      </c>
      <c r="F3484" t="s">
        <v>13</v>
      </c>
      <c r="G3484" s="20">
        <v>1</v>
      </c>
      <c r="H3484" t="s">
        <v>4357</v>
      </c>
      <c r="I3484" t="s">
        <v>4357</v>
      </c>
      <c r="J3484" s="9"/>
      <c r="K3484" s="9"/>
      <c r="L3484" s="9"/>
    </row>
    <row r="3485" spans="2:12" ht="15" x14ac:dyDescent="0.25">
      <c r="B3485" t="s">
        <v>3400</v>
      </c>
      <c r="C3485" t="s">
        <v>3401</v>
      </c>
      <c r="D3485" t="str">
        <f>HYPERLINK("https://rhld.insurance.arkansas.gov/NPILookup?Npi=1013904895","1013904895")</f>
        <v>1013904895</v>
      </c>
      <c r="E3485" t="s">
        <v>2135</v>
      </c>
      <c r="F3485" t="s">
        <v>12</v>
      </c>
      <c r="G3485" s="20">
        <v>1</v>
      </c>
      <c r="H3485" t="s">
        <v>4338</v>
      </c>
      <c r="I3485" t="s">
        <v>4357</v>
      </c>
      <c r="J3485" s="9"/>
      <c r="K3485" s="9"/>
      <c r="L3485" s="9"/>
    </row>
    <row r="3486" spans="2:12" ht="15" x14ac:dyDescent="0.25">
      <c r="B3486" t="s">
        <v>3400</v>
      </c>
      <c r="C3486" t="s">
        <v>3401</v>
      </c>
      <c r="D3486" t="str">
        <f>HYPERLINK("https://rhld.insurance.arkansas.gov/NPILookup?Npi=1013953157","1013953157")</f>
        <v>1013953157</v>
      </c>
      <c r="E3486" t="s">
        <v>3418</v>
      </c>
      <c r="F3486" t="s">
        <v>13</v>
      </c>
      <c r="G3486" s="20">
        <v>1</v>
      </c>
      <c r="H3486" t="s">
        <v>3403</v>
      </c>
      <c r="I3486" t="s">
        <v>32</v>
      </c>
      <c r="J3486" s="9"/>
      <c r="K3486" s="9"/>
      <c r="L3486" s="9"/>
    </row>
    <row r="3487" spans="2:12" ht="15" x14ac:dyDescent="0.25">
      <c r="B3487" t="s">
        <v>3400</v>
      </c>
      <c r="C3487" t="s">
        <v>3401</v>
      </c>
      <c r="D3487" t="str">
        <f>HYPERLINK("https://rhld.insurance.arkansas.gov/NPILookup?Npi=1023018439","1023018439")</f>
        <v>1023018439</v>
      </c>
      <c r="E3487" t="s">
        <v>3419</v>
      </c>
      <c r="F3487" t="s">
        <v>13</v>
      </c>
      <c r="G3487" s="20">
        <v>1</v>
      </c>
      <c r="H3487" t="s">
        <v>3403</v>
      </c>
      <c r="I3487" t="s">
        <v>32</v>
      </c>
      <c r="J3487" s="9"/>
      <c r="K3487" s="9"/>
      <c r="L3487" s="9"/>
    </row>
    <row r="3488" spans="2:12" ht="15" x14ac:dyDescent="0.25">
      <c r="B3488" t="s">
        <v>3400</v>
      </c>
      <c r="C3488" t="s">
        <v>3401</v>
      </c>
      <c r="D3488" t="str">
        <f>HYPERLINK("https://rhld.insurance.arkansas.gov/NPILookup?Npi=1023079985","1023079985")</f>
        <v>1023079985</v>
      </c>
      <c r="E3488" t="s">
        <v>3420</v>
      </c>
      <c r="F3488" t="s">
        <v>13</v>
      </c>
      <c r="G3488" s="20">
        <v>1</v>
      </c>
      <c r="H3488" t="s">
        <v>3403</v>
      </c>
      <c r="I3488" t="s">
        <v>32</v>
      </c>
      <c r="J3488" s="9"/>
      <c r="K3488" s="9"/>
      <c r="L3488" s="9"/>
    </row>
    <row r="3489" spans="2:12" ht="15" x14ac:dyDescent="0.25">
      <c r="B3489" t="s">
        <v>3400</v>
      </c>
      <c r="C3489" t="s">
        <v>3401</v>
      </c>
      <c r="D3489" t="str">
        <f>HYPERLINK("https://rhld.insurance.arkansas.gov/NPILookup?Npi=1023082575","1023082575")</f>
        <v>1023082575</v>
      </c>
      <c r="E3489" t="s">
        <v>2137</v>
      </c>
      <c r="F3489" t="s">
        <v>13</v>
      </c>
      <c r="G3489" s="20">
        <v>1</v>
      </c>
      <c r="H3489" t="s">
        <v>3403</v>
      </c>
      <c r="I3489" t="s">
        <v>4357</v>
      </c>
      <c r="J3489" s="9"/>
      <c r="K3489" s="9"/>
      <c r="L3489" s="9"/>
    </row>
    <row r="3490" spans="2:12" ht="15" x14ac:dyDescent="0.25">
      <c r="B3490" t="s">
        <v>3400</v>
      </c>
      <c r="C3490" t="s">
        <v>3401</v>
      </c>
      <c r="D3490" t="str">
        <f>HYPERLINK("https://rhld.insurance.arkansas.gov/NPILookup?Npi=1023113784","1023113784")</f>
        <v>1023113784</v>
      </c>
      <c r="E3490" t="s">
        <v>2138</v>
      </c>
      <c r="F3490" t="s">
        <v>13</v>
      </c>
      <c r="G3490" s="20">
        <v>1</v>
      </c>
      <c r="H3490" t="s">
        <v>4357</v>
      </c>
      <c r="I3490" t="s">
        <v>4357</v>
      </c>
      <c r="J3490" s="9"/>
      <c r="K3490" s="9"/>
      <c r="L3490" s="9"/>
    </row>
    <row r="3491" spans="2:12" ht="15" x14ac:dyDescent="0.25">
      <c r="B3491" t="s">
        <v>3400</v>
      </c>
      <c r="C3491" t="s">
        <v>3401</v>
      </c>
      <c r="D3491" t="str">
        <f>HYPERLINK("https://rhld.insurance.arkansas.gov/NPILookup?Npi=1023181864","1023181864")</f>
        <v>1023181864</v>
      </c>
      <c r="E3491" t="s">
        <v>2140</v>
      </c>
      <c r="F3491" t="s">
        <v>13</v>
      </c>
      <c r="G3491" s="20">
        <v>1</v>
      </c>
      <c r="H3491" t="s">
        <v>3403</v>
      </c>
      <c r="I3491" t="s">
        <v>4357</v>
      </c>
      <c r="J3491" s="9"/>
      <c r="K3491" s="9"/>
      <c r="L3491" s="9"/>
    </row>
    <row r="3492" spans="2:12" ht="15" x14ac:dyDescent="0.25">
      <c r="B3492" t="s">
        <v>3400</v>
      </c>
      <c r="C3492" t="s">
        <v>3401</v>
      </c>
      <c r="D3492" t="str">
        <f>HYPERLINK("https://rhld.insurance.arkansas.gov/NPILookup?Npi=1023404100","1023404100")</f>
        <v>1023404100</v>
      </c>
      <c r="E3492" t="s">
        <v>2144</v>
      </c>
      <c r="F3492" t="s">
        <v>13</v>
      </c>
      <c r="G3492" s="20">
        <v>1</v>
      </c>
      <c r="H3492" t="s">
        <v>3403</v>
      </c>
      <c r="I3492" t="s">
        <v>4357</v>
      </c>
      <c r="J3492" s="9"/>
      <c r="K3492" s="9"/>
      <c r="L3492" s="9"/>
    </row>
    <row r="3493" spans="2:12" ht="15" x14ac:dyDescent="0.25">
      <c r="B3493" t="s">
        <v>3400</v>
      </c>
      <c r="C3493" t="s">
        <v>3401</v>
      </c>
      <c r="D3493" t="str">
        <f>HYPERLINK("https://rhld.insurance.arkansas.gov/NPILookup?Npi=1023425469","1023425469")</f>
        <v>1023425469</v>
      </c>
      <c r="E3493" t="s">
        <v>3421</v>
      </c>
      <c r="F3493" t="s">
        <v>13</v>
      </c>
      <c r="G3493" s="20">
        <v>1</v>
      </c>
      <c r="H3493" t="s">
        <v>3403</v>
      </c>
      <c r="I3493" t="s">
        <v>4357</v>
      </c>
      <c r="J3493" s="9"/>
      <c r="K3493" s="9"/>
      <c r="L3493" s="9"/>
    </row>
    <row r="3494" spans="2:12" ht="15" x14ac:dyDescent="0.25">
      <c r="B3494" t="s">
        <v>3400</v>
      </c>
      <c r="C3494" t="s">
        <v>3401</v>
      </c>
      <c r="D3494" t="str">
        <f>HYPERLINK("https://rhld.insurance.arkansas.gov/NPILookup?Npi=1023427952","1023427952")</f>
        <v>1023427952</v>
      </c>
      <c r="E3494" t="s">
        <v>2145</v>
      </c>
      <c r="F3494" t="s">
        <v>13</v>
      </c>
      <c r="G3494" s="20">
        <v>1</v>
      </c>
      <c r="H3494" t="s">
        <v>3403</v>
      </c>
      <c r="I3494" t="s">
        <v>4357</v>
      </c>
      <c r="J3494" s="9"/>
      <c r="K3494" s="9"/>
      <c r="L3494" s="9"/>
    </row>
    <row r="3495" spans="2:12" ht="15" x14ac:dyDescent="0.25">
      <c r="B3495" t="s">
        <v>3400</v>
      </c>
      <c r="C3495" t="s">
        <v>3401</v>
      </c>
      <c r="D3495" t="str">
        <f>HYPERLINK("https://rhld.insurance.arkansas.gov/NPILookup?Npi=1023493160","1023493160")</f>
        <v>1023493160</v>
      </c>
      <c r="E3495" t="s">
        <v>2147</v>
      </c>
      <c r="F3495" t="s">
        <v>13</v>
      </c>
      <c r="G3495" s="20">
        <v>1</v>
      </c>
      <c r="H3495" t="s">
        <v>3403</v>
      </c>
      <c r="I3495" t="s">
        <v>4357</v>
      </c>
      <c r="J3495" s="9"/>
      <c r="K3495" s="9"/>
      <c r="L3495" s="9"/>
    </row>
    <row r="3496" spans="2:12" ht="15" x14ac:dyDescent="0.25">
      <c r="B3496" t="s">
        <v>3400</v>
      </c>
      <c r="C3496" t="s">
        <v>3401</v>
      </c>
      <c r="D3496" t="str">
        <f>HYPERLINK("https://rhld.insurance.arkansas.gov/NPILookup?Npi=1023732716","1023732716")</f>
        <v>1023732716</v>
      </c>
      <c r="E3496" t="s">
        <v>3422</v>
      </c>
      <c r="F3496" t="s">
        <v>13</v>
      </c>
      <c r="G3496" s="20">
        <v>1</v>
      </c>
      <c r="H3496" t="s">
        <v>3403</v>
      </c>
      <c r="I3496" t="s">
        <v>32</v>
      </c>
      <c r="J3496" s="9"/>
      <c r="K3496" s="9"/>
      <c r="L3496" s="9"/>
    </row>
    <row r="3497" spans="2:12" ht="15" x14ac:dyDescent="0.25">
      <c r="B3497" t="s">
        <v>3400</v>
      </c>
      <c r="C3497" t="s">
        <v>3401</v>
      </c>
      <c r="D3497" t="str">
        <f>HYPERLINK("https://rhld.insurance.arkansas.gov/NPILookup?Npi=1023764289","1023764289")</f>
        <v>1023764289</v>
      </c>
      <c r="E3497" t="s">
        <v>2150</v>
      </c>
      <c r="F3497" t="s">
        <v>13</v>
      </c>
      <c r="G3497" s="20">
        <v>1</v>
      </c>
      <c r="H3497" t="s">
        <v>4357</v>
      </c>
      <c r="I3497" t="s">
        <v>4357</v>
      </c>
      <c r="J3497" s="9"/>
      <c r="K3497" s="9"/>
      <c r="L3497" s="9"/>
    </row>
    <row r="3498" spans="2:12" ht="15" x14ac:dyDescent="0.25">
      <c r="B3498" t="s">
        <v>3400</v>
      </c>
      <c r="C3498" t="s">
        <v>3401</v>
      </c>
      <c r="D3498" t="str">
        <f>HYPERLINK("https://rhld.insurance.arkansas.gov/NPILookup?Npi=1033105747","1033105747")</f>
        <v>1033105747</v>
      </c>
      <c r="E3498" t="s">
        <v>3423</v>
      </c>
      <c r="F3498" t="s">
        <v>13</v>
      </c>
      <c r="G3498" s="20">
        <v>1</v>
      </c>
      <c r="H3498" t="s">
        <v>3403</v>
      </c>
      <c r="I3498" t="s">
        <v>32</v>
      </c>
      <c r="J3498" s="9"/>
      <c r="K3498" s="9"/>
      <c r="L3498" s="9"/>
    </row>
    <row r="3499" spans="2:12" ht="15" x14ac:dyDescent="0.25">
      <c r="B3499" t="s">
        <v>3400</v>
      </c>
      <c r="C3499" t="s">
        <v>3401</v>
      </c>
      <c r="D3499" t="str">
        <f>HYPERLINK("https://rhld.insurance.arkansas.gov/NPILookup?Npi=1033115639","1033115639")</f>
        <v>1033115639</v>
      </c>
      <c r="E3499" t="s">
        <v>3424</v>
      </c>
      <c r="F3499" t="s">
        <v>13</v>
      </c>
      <c r="G3499" s="20">
        <v>1</v>
      </c>
      <c r="H3499" t="s">
        <v>3403</v>
      </c>
      <c r="I3499" t="s">
        <v>32</v>
      </c>
      <c r="J3499" s="9"/>
      <c r="K3499" s="9"/>
      <c r="L3499" s="9"/>
    </row>
    <row r="3500" spans="2:12" ht="15" x14ac:dyDescent="0.25">
      <c r="B3500" t="s">
        <v>3400</v>
      </c>
      <c r="C3500" t="s">
        <v>3401</v>
      </c>
      <c r="D3500" t="str">
        <f>HYPERLINK("https://rhld.insurance.arkansas.gov/NPILookup?Npi=1033180963","1033180963")</f>
        <v>1033180963</v>
      </c>
      <c r="E3500" t="s">
        <v>2151</v>
      </c>
      <c r="F3500" t="s">
        <v>13</v>
      </c>
      <c r="G3500" s="20">
        <v>1</v>
      </c>
      <c r="H3500" t="s">
        <v>3403</v>
      </c>
      <c r="I3500" t="s">
        <v>32</v>
      </c>
      <c r="J3500" s="9"/>
      <c r="K3500" s="9"/>
      <c r="L3500" s="9"/>
    </row>
    <row r="3501" spans="2:12" ht="15" x14ac:dyDescent="0.25">
      <c r="B3501" t="s">
        <v>3400</v>
      </c>
      <c r="C3501" t="s">
        <v>3401</v>
      </c>
      <c r="D3501" t="str">
        <f>HYPERLINK("https://rhld.insurance.arkansas.gov/NPILookup?Npi=1033195953","1033195953")</f>
        <v>1033195953</v>
      </c>
      <c r="E3501" t="s">
        <v>3425</v>
      </c>
      <c r="F3501" t="s">
        <v>13</v>
      </c>
      <c r="G3501" s="20">
        <v>1</v>
      </c>
      <c r="H3501" t="s">
        <v>3403</v>
      </c>
      <c r="I3501" t="s">
        <v>4357</v>
      </c>
      <c r="J3501" s="9"/>
      <c r="K3501" s="9"/>
      <c r="L3501" s="9"/>
    </row>
    <row r="3502" spans="2:12" ht="15" x14ac:dyDescent="0.25">
      <c r="B3502" t="s">
        <v>3400</v>
      </c>
      <c r="C3502" t="s">
        <v>3401</v>
      </c>
      <c r="D3502" t="str">
        <f>HYPERLINK("https://rhld.insurance.arkansas.gov/NPILookup?Npi=1033267679","1033267679")</f>
        <v>1033267679</v>
      </c>
      <c r="E3502" t="s">
        <v>379</v>
      </c>
      <c r="F3502" t="s">
        <v>12</v>
      </c>
      <c r="G3502" s="20">
        <v>1</v>
      </c>
      <c r="H3502" t="s">
        <v>4338</v>
      </c>
      <c r="I3502" t="s">
        <v>32</v>
      </c>
      <c r="J3502" s="9"/>
      <c r="K3502" s="9"/>
      <c r="L3502" s="9"/>
    </row>
    <row r="3503" spans="2:12" ht="15" x14ac:dyDescent="0.25">
      <c r="B3503" t="s">
        <v>3400</v>
      </c>
      <c r="C3503" t="s">
        <v>3401</v>
      </c>
      <c r="D3503" t="str">
        <f>HYPERLINK("https://rhld.insurance.arkansas.gov/NPILookup?Npi=1033301320","1033301320")</f>
        <v>1033301320</v>
      </c>
      <c r="E3503" t="s">
        <v>3426</v>
      </c>
      <c r="F3503" t="s">
        <v>13</v>
      </c>
      <c r="G3503" s="20">
        <v>1</v>
      </c>
      <c r="H3503" t="s">
        <v>3403</v>
      </c>
      <c r="I3503" t="s">
        <v>32</v>
      </c>
      <c r="J3503" s="9"/>
      <c r="K3503" s="9"/>
      <c r="L3503" s="9"/>
    </row>
    <row r="3504" spans="2:12" ht="15" x14ac:dyDescent="0.25">
      <c r="B3504" t="s">
        <v>3400</v>
      </c>
      <c r="C3504" t="s">
        <v>3401</v>
      </c>
      <c r="D3504" t="str">
        <f>HYPERLINK("https://rhld.insurance.arkansas.gov/NPILookup?Npi=1033368246","1033368246")</f>
        <v>1033368246</v>
      </c>
      <c r="E3504" t="s">
        <v>2969</v>
      </c>
      <c r="F3504" t="s">
        <v>13</v>
      </c>
      <c r="G3504" s="20">
        <v>1</v>
      </c>
      <c r="H3504" t="s">
        <v>3403</v>
      </c>
      <c r="I3504" t="s">
        <v>32</v>
      </c>
      <c r="J3504" s="9"/>
      <c r="K3504" s="9"/>
      <c r="L3504" s="9"/>
    </row>
    <row r="3505" spans="2:12" ht="15" x14ac:dyDescent="0.25">
      <c r="B3505" t="s">
        <v>3400</v>
      </c>
      <c r="C3505" t="s">
        <v>3401</v>
      </c>
      <c r="D3505" t="str">
        <f>HYPERLINK("https://rhld.insurance.arkansas.gov/NPILookup?Npi=1033638499","1033638499")</f>
        <v>1033638499</v>
      </c>
      <c r="E3505" t="s">
        <v>3427</v>
      </c>
      <c r="F3505" t="s">
        <v>13</v>
      </c>
      <c r="G3505" s="20">
        <v>1</v>
      </c>
      <c r="H3505" t="s">
        <v>3403</v>
      </c>
      <c r="I3505" t="s">
        <v>4357</v>
      </c>
      <c r="J3505" s="9"/>
      <c r="K3505" s="9"/>
      <c r="L3505" s="9"/>
    </row>
    <row r="3506" spans="2:12" ht="15" x14ac:dyDescent="0.25">
      <c r="B3506" t="s">
        <v>3400</v>
      </c>
      <c r="C3506" t="s">
        <v>3401</v>
      </c>
      <c r="D3506" t="str">
        <f>HYPERLINK("https://rhld.insurance.arkansas.gov/NPILookup?Npi=1033642228","1033642228")</f>
        <v>1033642228</v>
      </c>
      <c r="E3506" t="s">
        <v>3428</v>
      </c>
      <c r="F3506" t="s">
        <v>12</v>
      </c>
      <c r="G3506" s="20">
        <v>1</v>
      </c>
      <c r="H3506" t="s">
        <v>4338</v>
      </c>
      <c r="I3506" t="s">
        <v>32</v>
      </c>
      <c r="J3506" s="9"/>
      <c r="K3506" s="9"/>
      <c r="L3506" s="9"/>
    </row>
    <row r="3507" spans="2:12" ht="15" x14ac:dyDescent="0.25">
      <c r="B3507" t="s">
        <v>3400</v>
      </c>
      <c r="C3507" t="s">
        <v>3401</v>
      </c>
      <c r="D3507" t="str">
        <f>HYPERLINK("https://rhld.insurance.arkansas.gov/NPILookup?Npi=1033699855","1033699855")</f>
        <v>1033699855</v>
      </c>
      <c r="E3507" t="s">
        <v>2155</v>
      </c>
      <c r="F3507" t="s">
        <v>13</v>
      </c>
      <c r="G3507" s="20">
        <v>1</v>
      </c>
      <c r="H3507" t="s">
        <v>4357</v>
      </c>
      <c r="I3507" t="s">
        <v>4357</v>
      </c>
      <c r="J3507" s="9"/>
      <c r="K3507" s="9"/>
      <c r="L3507" s="9"/>
    </row>
    <row r="3508" spans="2:12" ht="15" x14ac:dyDescent="0.25">
      <c r="B3508" t="s">
        <v>3400</v>
      </c>
      <c r="C3508" t="s">
        <v>3401</v>
      </c>
      <c r="D3508" t="str">
        <f>HYPERLINK("https://rhld.insurance.arkansas.gov/NPILookup?Npi=1033752803","1033752803")</f>
        <v>1033752803</v>
      </c>
      <c r="E3508" t="s">
        <v>3429</v>
      </c>
      <c r="F3508" t="s">
        <v>13</v>
      </c>
      <c r="G3508" s="20">
        <v>1</v>
      </c>
      <c r="H3508" t="s">
        <v>3403</v>
      </c>
      <c r="I3508" t="s">
        <v>32</v>
      </c>
      <c r="J3508" s="9"/>
      <c r="K3508" s="9"/>
      <c r="L3508" s="9"/>
    </row>
    <row r="3509" spans="2:12" ht="15" x14ac:dyDescent="0.25">
      <c r="B3509" t="s">
        <v>3400</v>
      </c>
      <c r="C3509" t="s">
        <v>3401</v>
      </c>
      <c r="D3509" t="str">
        <f>HYPERLINK("https://rhld.insurance.arkansas.gov/NPILookup?Npi=1033771969","1033771969")</f>
        <v>1033771969</v>
      </c>
      <c r="E3509" t="s">
        <v>3430</v>
      </c>
      <c r="F3509" t="s">
        <v>13</v>
      </c>
      <c r="G3509" s="20">
        <v>1</v>
      </c>
      <c r="H3509" t="s">
        <v>3403</v>
      </c>
      <c r="I3509" t="s">
        <v>32</v>
      </c>
      <c r="J3509" s="9"/>
      <c r="K3509" s="9"/>
      <c r="L3509" s="9"/>
    </row>
    <row r="3510" spans="2:12" ht="15" x14ac:dyDescent="0.25">
      <c r="B3510" t="s">
        <v>3400</v>
      </c>
      <c r="C3510" t="s">
        <v>3401</v>
      </c>
      <c r="D3510" t="str">
        <f>HYPERLINK("https://rhld.insurance.arkansas.gov/NPILookup?Npi=1033816087","1033816087")</f>
        <v>1033816087</v>
      </c>
      <c r="E3510" t="s">
        <v>3431</v>
      </c>
      <c r="F3510" t="s">
        <v>13</v>
      </c>
      <c r="G3510" s="20">
        <v>1</v>
      </c>
      <c r="H3510" t="s">
        <v>3403</v>
      </c>
      <c r="I3510" t="s">
        <v>4357</v>
      </c>
      <c r="J3510" s="9"/>
      <c r="K3510" s="9"/>
      <c r="L3510" s="9"/>
    </row>
    <row r="3511" spans="2:12" ht="15" x14ac:dyDescent="0.25">
      <c r="B3511" t="s">
        <v>3400</v>
      </c>
      <c r="C3511" t="s">
        <v>3401</v>
      </c>
      <c r="D3511" t="str">
        <f>HYPERLINK("https://rhld.insurance.arkansas.gov/NPILookup?Npi=1033834692","1033834692")</f>
        <v>1033834692</v>
      </c>
      <c r="E3511" t="s">
        <v>3432</v>
      </c>
      <c r="F3511" t="s">
        <v>13</v>
      </c>
      <c r="G3511" s="20">
        <v>1</v>
      </c>
      <c r="H3511" t="s">
        <v>3403</v>
      </c>
      <c r="I3511" t="s">
        <v>4357</v>
      </c>
      <c r="J3511" s="9"/>
      <c r="K3511" s="9"/>
      <c r="L3511" s="9"/>
    </row>
    <row r="3512" spans="2:12" ht="15" x14ac:dyDescent="0.25">
      <c r="B3512" t="s">
        <v>3400</v>
      </c>
      <c r="C3512" t="s">
        <v>3401</v>
      </c>
      <c r="D3512" t="str">
        <f>HYPERLINK("https://rhld.insurance.arkansas.gov/NPILookup?Npi=1033847975","1033847975")</f>
        <v>1033847975</v>
      </c>
      <c r="E3512" t="s">
        <v>2157</v>
      </c>
      <c r="F3512" t="s">
        <v>13</v>
      </c>
      <c r="G3512" s="20">
        <v>1</v>
      </c>
      <c r="H3512" t="s">
        <v>4357</v>
      </c>
      <c r="I3512" t="s">
        <v>32</v>
      </c>
      <c r="J3512" s="9"/>
      <c r="K3512" s="9"/>
      <c r="L3512" s="9"/>
    </row>
    <row r="3513" spans="2:12" ht="15" x14ac:dyDescent="0.25">
      <c r="B3513" t="s">
        <v>3400</v>
      </c>
      <c r="C3513" t="s">
        <v>3401</v>
      </c>
      <c r="D3513" t="str">
        <f>HYPERLINK("https://rhld.insurance.arkansas.gov/NPILookup?Npi=1033926001","1033926001")</f>
        <v>1033926001</v>
      </c>
      <c r="E3513" t="s">
        <v>2158</v>
      </c>
      <c r="F3513" t="s">
        <v>13</v>
      </c>
      <c r="G3513" s="20">
        <v>1</v>
      </c>
      <c r="H3513" t="s">
        <v>4357</v>
      </c>
      <c r="I3513" t="s">
        <v>4357</v>
      </c>
      <c r="J3513" s="9"/>
      <c r="K3513" s="9"/>
      <c r="L3513" s="9"/>
    </row>
    <row r="3514" spans="2:12" ht="15" x14ac:dyDescent="0.25">
      <c r="B3514" t="s">
        <v>3400</v>
      </c>
      <c r="C3514" t="s">
        <v>3401</v>
      </c>
      <c r="D3514" t="str">
        <f>HYPERLINK("https://rhld.insurance.arkansas.gov/NPILookup?Npi=1033930656","1033930656")</f>
        <v>1033930656</v>
      </c>
      <c r="E3514" t="s">
        <v>2159</v>
      </c>
      <c r="F3514" t="s">
        <v>13</v>
      </c>
      <c r="G3514" s="20">
        <v>1</v>
      </c>
      <c r="H3514" t="s">
        <v>4357</v>
      </c>
      <c r="I3514" t="s">
        <v>4357</v>
      </c>
      <c r="J3514" s="9"/>
      <c r="K3514" s="9"/>
      <c r="L3514" s="9"/>
    </row>
    <row r="3515" spans="2:12" ht="15" x14ac:dyDescent="0.25">
      <c r="B3515" t="s">
        <v>3400</v>
      </c>
      <c r="C3515" t="s">
        <v>3401</v>
      </c>
      <c r="D3515" t="str">
        <f>HYPERLINK("https://rhld.insurance.arkansas.gov/NPILookup?Npi=1033949409","1033949409")</f>
        <v>1033949409</v>
      </c>
      <c r="E3515" t="s">
        <v>2160</v>
      </c>
      <c r="F3515" t="s">
        <v>13</v>
      </c>
      <c r="G3515" s="20">
        <v>1</v>
      </c>
      <c r="H3515" t="s">
        <v>4357</v>
      </c>
      <c r="I3515" t="s">
        <v>4357</v>
      </c>
      <c r="J3515" s="9"/>
      <c r="K3515" s="9"/>
      <c r="L3515" s="9"/>
    </row>
    <row r="3516" spans="2:12" ht="15" x14ac:dyDescent="0.25">
      <c r="B3516" t="s">
        <v>3400</v>
      </c>
      <c r="C3516" t="s">
        <v>3401</v>
      </c>
      <c r="D3516" t="str">
        <f>HYPERLINK("https://rhld.insurance.arkansas.gov/NPILookup?Npi=1033960265","1033960265")</f>
        <v>1033960265</v>
      </c>
      <c r="E3516" t="s">
        <v>2161</v>
      </c>
      <c r="F3516" t="s">
        <v>13</v>
      </c>
      <c r="G3516" s="20">
        <v>1</v>
      </c>
      <c r="H3516" t="s">
        <v>4357</v>
      </c>
      <c r="I3516" t="s">
        <v>4357</v>
      </c>
      <c r="J3516" s="9"/>
      <c r="K3516" s="9"/>
      <c r="L3516" s="9"/>
    </row>
    <row r="3517" spans="2:12" ht="15" x14ac:dyDescent="0.25">
      <c r="B3517" t="s">
        <v>3400</v>
      </c>
      <c r="C3517" t="s">
        <v>3401</v>
      </c>
      <c r="D3517" t="str">
        <f>HYPERLINK("https://rhld.insurance.arkansas.gov/NPILookup?Npi=1043028939","1043028939")</f>
        <v>1043028939</v>
      </c>
      <c r="E3517" t="s">
        <v>2162</v>
      </c>
      <c r="F3517" t="s">
        <v>13</v>
      </c>
      <c r="G3517" s="20">
        <v>1</v>
      </c>
      <c r="H3517" t="s">
        <v>4357</v>
      </c>
      <c r="I3517" t="s">
        <v>4357</v>
      </c>
      <c r="J3517" s="9"/>
      <c r="K3517" s="9"/>
      <c r="L3517" s="9"/>
    </row>
    <row r="3518" spans="2:12" ht="15" x14ac:dyDescent="0.25">
      <c r="B3518" t="s">
        <v>3400</v>
      </c>
      <c r="C3518" t="s">
        <v>3401</v>
      </c>
      <c r="D3518" t="str">
        <f>HYPERLINK("https://rhld.insurance.arkansas.gov/NPILookup?Npi=1043048200","1043048200")</f>
        <v>1043048200</v>
      </c>
      <c r="E3518" t="s">
        <v>2163</v>
      </c>
      <c r="F3518" t="s">
        <v>13</v>
      </c>
      <c r="G3518" s="20">
        <v>1</v>
      </c>
      <c r="H3518" t="s">
        <v>4357</v>
      </c>
      <c r="I3518" t="s">
        <v>4357</v>
      </c>
      <c r="J3518" s="9"/>
      <c r="K3518" s="9"/>
      <c r="L3518" s="9"/>
    </row>
    <row r="3519" spans="2:12" ht="15" x14ac:dyDescent="0.25">
      <c r="B3519" t="s">
        <v>3400</v>
      </c>
      <c r="C3519" t="s">
        <v>3401</v>
      </c>
      <c r="D3519" t="str">
        <f>HYPERLINK("https://rhld.insurance.arkansas.gov/NPILookup?Npi=1043208879","1043208879")</f>
        <v>1043208879</v>
      </c>
      <c r="E3519" t="s">
        <v>3433</v>
      </c>
      <c r="F3519" t="s">
        <v>13</v>
      </c>
      <c r="G3519" s="20">
        <v>1</v>
      </c>
      <c r="H3519" t="s">
        <v>3403</v>
      </c>
      <c r="I3519" t="s">
        <v>32</v>
      </c>
      <c r="J3519" s="9"/>
      <c r="K3519" s="9"/>
      <c r="L3519" s="9"/>
    </row>
    <row r="3520" spans="2:12" ht="15" x14ac:dyDescent="0.25">
      <c r="B3520" t="s">
        <v>3400</v>
      </c>
      <c r="C3520" t="s">
        <v>3401</v>
      </c>
      <c r="D3520" t="str">
        <f>HYPERLINK("https://rhld.insurance.arkansas.gov/NPILookup?Npi=1043278914","1043278914")</f>
        <v>1043278914</v>
      </c>
      <c r="E3520" t="s">
        <v>3434</v>
      </c>
      <c r="F3520" t="s">
        <v>13</v>
      </c>
      <c r="G3520" s="20">
        <v>1</v>
      </c>
      <c r="H3520" t="s">
        <v>3403</v>
      </c>
      <c r="I3520" t="s">
        <v>32</v>
      </c>
      <c r="J3520" s="9"/>
      <c r="K3520" s="9"/>
      <c r="L3520" s="9"/>
    </row>
    <row r="3521" spans="2:12" ht="15" x14ac:dyDescent="0.25">
      <c r="B3521" t="s">
        <v>3400</v>
      </c>
      <c r="C3521" t="s">
        <v>3401</v>
      </c>
      <c r="D3521" t="str">
        <f>HYPERLINK("https://rhld.insurance.arkansas.gov/NPILookup?Npi=1043340011","1043340011")</f>
        <v>1043340011</v>
      </c>
      <c r="E3521" t="s">
        <v>3435</v>
      </c>
      <c r="F3521" t="s">
        <v>13</v>
      </c>
      <c r="G3521" s="20">
        <v>1</v>
      </c>
      <c r="H3521" t="s">
        <v>3403</v>
      </c>
      <c r="I3521" t="s">
        <v>32</v>
      </c>
      <c r="J3521" s="9"/>
      <c r="K3521" s="9"/>
      <c r="L3521" s="9"/>
    </row>
    <row r="3522" spans="2:12" ht="15" x14ac:dyDescent="0.25">
      <c r="B3522" t="s">
        <v>3400</v>
      </c>
      <c r="C3522" t="s">
        <v>3401</v>
      </c>
      <c r="D3522" t="str">
        <f>HYPERLINK("https://rhld.insurance.arkansas.gov/NPILookup?Npi=1043506777","1043506777")</f>
        <v>1043506777</v>
      </c>
      <c r="E3522" t="s">
        <v>3436</v>
      </c>
      <c r="F3522" t="s">
        <v>13</v>
      </c>
      <c r="G3522" s="20">
        <v>1</v>
      </c>
      <c r="H3522" t="s">
        <v>3403</v>
      </c>
      <c r="I3522" t="s">
        <v>4357</v>
      </c>
      <c r="J3522" s="9"/>
      <c r="K3522" s="9"/>
      <c r="L3522" s="9"/>
    </row>
    <row r="3523" spans="2:12" ht="15" x14ac:dyDescent="0.25">
      <c r="B3523" t="s">
        <v>3400</v>
      </c>
      <c r="C3523" t="s">
        <v>3401</v>
      </c>
      <c r="D3523" t="str">
        <f>HYPERLINK("https://rhld.insurance.arkansas.gov/NPILookup?Npi=1043604804","1043604804")</f>
        <v>1043604804</v>
      </c>
      <c r="E3523" t="s">
        <v>2170</v>
      </c>
      <c r="F3523" t="s">
        <v>13</v>
      </c>
      <c r="G3523" s="20">
        <v>1</v>
      </c>
      <c r="H3523" t="s">
        <v>4357</v>
      </c>
      <c r="I3523" t="s">
        <v>4357</v>
      </c>
      <c r="J3523" s="9"/>
      <c r="K3523" s="9"/>
      <c r="L3523" s="9"/>
    </row>
    <row r="3524" spans="2:12" ht="15" x14ac:dyDescent="0.25">
      <c r="B3524" t="s">
        <v>3400</v>
      </c>
      <c r="C3524" t="s">
        <v>3401</v>
      </c>
      <c r="D3524" t="str">
        <f>HYPERLINK("https://rhld.insurance.arkansas.gov/NPILookup?Npi=1043730328","1043730328")</f>
        <v>1043730328</v>
      </c>
      <c r="E3524" t="s">
        <v>3437</v>
      </c>
      <c r="F3524" t="s">
        <v>13</v>
      </c>
      <c r="G3524" s="20">
        <v>1</v>
      </c>
      <c r="H3524" t="s">
        <v>3403</v>
      </c>
      <c r="I3524" t="s">
        <v>32</v>
      </c>
      <c r="J3524" s="9"/>
      <c r="K3524" s="9"/>
      <c r="L3524" s="9"/>
    </row>
    <row r="3525" spans="2:12" ht="15" x14ac:dyDescent="0.25">
      <c r="B3525" t="s">
        <v>3400</v>
      </c>
      <c r="C3525" t="s">
        <v>3401</v>
      </c>
      <c r="D3525" t="str">
        <f>HYPERLINK("https://rhld.insurance.arkansas.gov/NPILookup?Npi=1043752009","1043752009")</f>
        <v>1043752009</v>
      </c>
      <c r="E3525" t="s">
        <v>2172</v>
      </c>
      <c r="F3525" t="s">
        <v>13</v>
      </c>
      <c r="G3525" s="20">
        <v>1</v>
      </c>
      <c r="H3525" t="s">
        <v>3403</v>
      </c>
      <c r="I3525" t="s">
        <v>4357</v>
      </c>
      <c r="J3525" s="9"/>
      <c r="K3525" s="9"/>
      <c r="L3525" s="9"/>
    </row>
    <row r="3526" spans="2:12" ht="15" x14ac:dyDescent="0.25">
      <c r="B3526" t="s">
        <v>3400</v>
      </c>
      <c r="C3526" t="s">
        <v>3401</v>
      </c>
      <c r="D3526" t="str">
        <f>HYPERLINK("https://rhld.insurance.arkansas.gov/NPILookup?Npi=1043801855","1043801855")</f>
        <v>1043801855</v>
      </c>
      <c r="E3526" t="s">
        <v>3438</v>
      </c>
      <c r="F3526" t="s">
        <v>13</v>
      </c>
      <c r="G3526" s="20">
        <v>1</v>
      </c>
      <c r="H3526" t="s">
        <v>3403</v>
      </c>
      <c r="I3526" t="s">
        <v>32</v>
      </c>
      <c r="J3526" s="9"/>
      <c r="K3526" s="9"/>
      <c r="L3526" s="9"/>
    </row>
    <row r="3527" spans="2:12" ht="15" x14ac:dyDescent="0.25">
      <c r="B3527" t="s">
        <v>3400</v>
      </c>
      <c r="C3527" t="s">
        <v>3401</v>
      </c>
      <c r="D3527" t="str">
        <f>HYPERLINK("https://rhld.insurance.arkansas.gov/NPILookup?Npi=1043885098","1043885098")</f>
        <v>1043885098</v>
      </c>
      <c r="E3527" t="s">
        <v>2175</v>
      </c>
      <c r="F3527" t="s">
        <v>13</v>
      </c>
      <c r="G3527" s="20">
        <v>1</v>
      </c>
      <c r="H3527" t="s">
        <v>4357</v>
      </c>
      <c r="I3527" t="s">
        <v>4357</v>
      </c>
      <c r="J3527" s="9"/>
      <c r="K3527" s="9"/>
      <c r="L3527" s="9"/>
    </row>
    <row r="3528" spans="2:12" ht="15" x14ac:dyDescent="0.25">
      <c r="B3528" t="s">
        <v>3400</v>
      </c>
      <c r="C3528" t="s">
        <v>3401</v>
      </c>
      <c r="D3528" t="str">
        <f>HYPERLINK("https://rhld.insurance.arkansas.gov/NPILookup?Npi=1043899503","1043899503")</f>
        <v>1043899503</v>
      </c>
      <c r="E3528" t="s">
        <v>3439</v>
      </c>
      <c r="F3528" t="s">
        <v>13</v>
      </c>
      <c r="G3528" s="20">
        <v>1</v>
      </c>
      <c r="H3528" t="s">
        <v>4357</v>
      </c>
      <c r="I3528" t="s">
        <v>4357</v>
      </c>
      <c r="J3528" s="9"/>
      <c r="K3528" s="9"/>
      <c r="L3528" s="9"/>
    </row>
    <row r="3529" spans="2:12" ht="15" x14ac:dyDescent="0.25">
      <c r="B3529" t="s">
        <v>3400</v>
      </c>
      <c r="C3529" t="s">
        <v>3401</v>
      </c>
      <c r="D3529" t="str">
        <f>HYPERLINK("https://rhld.insurance.arkansas.gov/NPILookup?Npi=1053094532","1053094532")</f>
        <v>1053094532</v>
      </c>
      <c r="E3529" t="s">
        <v>2177</v>
      </c>
      <c r="F3529" t="s">
        <v>13</v>
      </c>
      <c r="G3529" s="20">
        <v>1</v>
      </c>
      <c r="H3529" t="s">
        <v>4357</v>
      </c>
      <c r="I3529" t="s">
        <v>4357</v>
      </c>
      <c r="J3529" s="9"/>
      <c r="K3529" s="9"/>
      <c r="L3529" s="9"/>
    </row>
    <row r="3530" spans="2:12" ht="15" x14ac:dyDescent="0.25">
      <c r="B3530" t="s">
        <v>3400</v>
      </c>
      <c r="C3530" t="s">
        <v>3401</v>
      </c>
      <c r="D3530" t="str">
        <f>HYPERLINK("https://rhld.insurance.arkansas.gov/NPILookup?Npi=1053120329","1053120329")</f>
        <v>1053120329</v>
      </c>
      <c r="E3530" t="s">
        <v>2178</v>
      </c>
      <c r="F3530" t="s">
        <v>13</v>
      </c>
      <c r="G3530" s="20">
        <v>1</v>
      </c>
      <c r="H3530" t="s">
        <v>4357</v>
      </c>
      <c r="I3530" t="s">
        <v>4357</v>
      </c>
      <c r="J3530" s="9"/>
      <c r="K3530" s="9"/>
      <c r="L3530" s="9"/>
    </row>
    <row r="3531" spans="2:12" ht="15" x14ac:dyDescent="0.25">
      <c r="B3531" t="s">
        <v>3400</v>
      </c>
      <c r="C3531" t="s">
        <v>3401</v>
      </c>
      <c r="D3531" t="str">
        <f>HYPERLINK("https://rhld.insurance.arkansas.gov/NPILookup?Npi=1053339069","1053339069")</f>
        <v>1053339069</v>
      </c>
      <c r="E3531" t="s">
        <v>3440</v>
      </c>
      <c r="F3531" t="s">
        <v>13</v>
      </c>
      <c r="G3531" s="20">
        <v>1</v>
      </c>
      <c r="H3531" t="s">
        <v>87</v>
      </c>
      <c r="I3531" t="s">
        <v>32</v>
      </c>
      <c r="J3531" s="9"/>
      <c r="K3531" s="9"/>
      <c r="L3531" s="9"/>
    </row>
    <row r="3532" spans="2:12" ht="15" x14ac:dyDescent="0.25">
      <c r="B3532" t="s">
        <v>3400</v>
      </c>
      <c r="C3532" t="s">
        <v>3401</v>
      </c>
      <c r="D3532" t="str">
        <f>HYPERLINK("https://rhld.insurance.arkansas.gov/NPILookup?Npi=1053390781","1053390781")</f>
        <v>1053390781</v>
      </c>
      <c r="E3532" t="s">
        <v>1943</v>
      </c>
      <c r="F3532" t="s">
        <v>13</v>
      </c>
      <c r="G3532" s="20">
        <v>1</v>
      </c>
      <c r="H3532" t="s">
        <v>3403</v>
      </c>
      <c r="I3532" t="s">
        <v>32</v>
      </c>
      <c r="J3532" s="9"/>
      <c r="K3532" s="9"/>
      <c r="L3532" s="9"/>
    </row>
    <row r="3533" spans="2:12" ht="15" x14ac:dyDescent="0.25">
      <c r="B3533" t="s">
        <v>3400</v>
      </c>
      <c r="C3533" t="s">
        <v>3401</v>
      </c>
      <c r="D3533" t="str">
        <f>HYPERLINK("https://rhld.insurance.arkansas.gov/NPILookup?Npi=1053449694","1053449694")</f>
        <v>1053449694</v>
      </c>
      <c r="E3533" t="s">
        <v>3441</v>
      </c>
      <c r="F3533" t="s">
        <v>13</v>
      </c>
      <c r="G3533" s="20">
        <v>1</v>
      </c>
      <c r="H3533" t="s">
        <v>3403</v>
      </c>
      <c r="I3533" t="s">
        <v>32</v>
      </c>
      <c r="J3533" s="9"/>
      <c r="K3533" s="9"/>
      <c r="L3533" s="9"/>
    </row>
    <row r="3534" spans="2:12" ht="15" x14ac:dyDescent="0.25">
      <c r="B3534" t="s">
        <v>3400</v>
      </c>
      <c r="C3534" t="s">
        <v>3401</v>
      </c>
      <c r="D3534" t="str">
        <f>HYPERLINK("https://rhld.insurance.arkansas.gov/NPILookup?Npi=1053560979","1053560979")</f>
        <v>1053560979</v>
      </c>
      <c r="E3534" t="s">
        <v>3442</v>
      </c>
      <c r="F3534" t="s">
        <v>13</v>
      </c>
      <c r="G3534" s="20">
        <v>1</v>
      </c>
      <c r="H3534" t="s">
        <v>3403</v>
      </c>
      <c r="I3534" t="s">
        <v>4357</v>
      </c>
      <c r="J3534" s="9"/>
      <c r="K3534" s="9"/>
      <c r="L3534" s="9"/>
    </row>
    <row r="3535" spans="2:12" ht="15" x14ac:dyDescent="0.25">
      <c r="B3535" t="s">
        <v>3400</v>
      </c>
      <c r="C3535" t="s">
        <v>3401</v>
      </c>
      <c r="D3535" t="str">
        <f>HYPERLINK("https://rhld.insurance.arkansas.gov/NPILookup?Npi=1053634485","1053634485")</f>
        <v>1053634485</v>
      </c>
      <c r="E3535" t="s">
        <v>3443</v>
      </c>
      <c r="F3535" t="s">
        <v>13</v>
      </c>
      <c r="G3535" s="20">
        <v>1</v>
      </c>
      <c r="H3535" t="s">
        <v>3403</v>
      </c>
      <c r="I3535" t="s">
        <v>32</v>
      </c>
      <c r="J3535" s="9"/>
      <c r="K3535" s="9"/>
      <c r="L3535" s="9"/>
    </row>
    <row r="3536" spans="2:12" ht="15" x14ac:dyDescent="0.25">
      <c r="B3536" t="s">
        <v>3400</v>
      </c>
      <c r="C3536" t="s">
        <v>3401</v>
      </c>
      <c r="D3536" t="str">
        <f>HYPERLINK("https://rhld.insurance.arkansas.gov/NPILookup?Npi=1053792259","1053792259")</f>
        <v>1053792259</v>
      </c>
      <c r="E3536" t="s">
        <v>2187</v>
      </c>
      <c r="F3536" t="s">
        <v>13</v>
      </c>
      <c r="G3536" s="20">
        <v>1</v>
      </c>
      <c r="H3536" t="s">
        <v>3403</v>
      </c>
      <c r="I3536" t="s">
        <v>4357</v>
      </c>
      <c r="J3536" s="9"/>
      <c r="K3536" s="9"/>
      <c r="L3536" s="9"/>
    </row>
    <row r="3537" spans="2:12" ht="15" x14ac:dyDescent="0.25">
      <c r="B3537" t="s">
        <v>3400</v>
      </c>
      <c r="C3537" t="s">
        <v>3401</v>
      </c>
      <c r="D3537" t="str">
        <f>HYPERLINK("https://rhld.insurance.arkansas.gov/NPILookup?Npi=1053797399","1053797399")</f>
        <v>1053797399</v>
      </c>
      <c r="E3537" t="s">
        <v>2188</v>
      </c>
      <c r="F3537" t="s">
        <v>13</v>
      </c>
      <c r="G3537" s="20">
        <v>1</v>
      </c>
      <c r="H3537" t="s">
        <v>3403</v>
      </c>
      <c r="I3537" t="s">
        <v>4357</v>
      </c>
      <c r="J3537" s="9"/>
      <c r="K3537" s="9"/>
      <c r="L3537" s="9"/>
    </row>
    <row r="3538" spans="2:12" ht="15" x14ac:dyDescent="0.25">
      <c r="B3538" t="s">
        <v>3400</v>
      </c>
      <c r="C3538" t="s">
        <v>3401</v>
      </c>
      <c r="D3538" t="str">
        <f>HYPERLINK("https://rhld.insurance.arkansas.gov/NPILookup?Npi=1053810101","1053810101")</f>
        <v>1053810101</v>
      </c>
      <c r="E3538" t="s">
        <v>3444</v>
      </c>
      <c r="F3538" t="s">
        <v>13</v>
      </c>
      <c r="G3538" s="20">
        <v>1</v>
      </c>
      <c r="H3538" t="s">
        <v>3403</v>
      </c>
      <c r="I3538" t="s">
        <v>32</v>
      </c>
      <c r="J3538" s="9"/>
      <c r="K3538" s="9"/>
      <c r="L3538" s="9"/>
    </row>
    <row r="3539" spans="2:12" ht="15" x14ac:dyDescent="0.25">
      <c r="B3539" t="s">
        <v>3400</v>
      </c>
      <c r="C3539" t="s">
        <v>3401</v>
      </c>
      <c r="D3539" t="str">
        <f>HYPERLINK("https://rhld.insurance.arkansas.gov/NPILookup?Npi=1053845651","1053845651")</f>
        <v>1053845651</v>
      </c>
      <c r="E3539" t="s">
        <v>3445</v>
      </c>
      <c r="F3539" t="s">
        <v>13</v>
      </c>
      <c r="G3539" s="20">
        <v>1</v>
      </c>
      <c r="H3539" t="s">
        <v>3403</v>
      </c>
      <c r="I3539" t="s">
        <v>32</v>
      </c>
      <c r="J3539" s="9"/>
      <c r="K3539" s="9"/>
      <c r="L3539" s="9"/>
    </row>
    <row r="3540" spans="2:12" ht="15" x14ac:dyDescent="0.25">
      <c r="B3540" t="s">
        <v>3400</v>
      </c>
      <c r="C3540" t="s">
        <v>3401</v>
      </c>
      <c r="D3540" t="str">
        <f>HYPERLINK("https://rhld.insurance.arkansas.gov/NPILookup?Npi=1053897884","1053897884")</f>
        <v>1053897884</v>
      </c>
      <c r="E3540" t="s">
        <v>1535</v>
      </c>
      <c r="F3540" t="s">
        <v>13</v>
      </c>
      <c r="G3540" s="20">
        <v>1</v>
      </c>
      <c r="H3540" t="s">
        <v>3403</v>
      </c>
      <c r="I3540" t="s">
        <v>32</v>
      </c>
      <c r="J3540" s="9"/>
      <c r="K3540" s="9"/>
      <c r="L3540" s="9"/>
    </row>
    <row r="3541" spans="2:12" ht="15" x14ac:dyDescent="0.25">
      <c r="B3541" t="s">
        <v>3400</v>
      </c>
      <c r="C3541" t="s">
        <v>3401</v>
      </c>
      <c r="D3541" t="str">
        <f>HYPERLINK("https://rhld.insurance.arkansas.gov/NPILookup?Npi=1063090959","1063090959")</f>
        <v>1063090959</v>
      </c>
      <c r="E3541" t="s">
        <v>2192</v>
      </c>
      <c r="F3541" t="s">
        <v>13</v>
      </c>
      <c r="G3541" s="20">
        <v>1</v>
      </c>
      <c r="H3541" t="s">
        <v>4357</v>
      </c>
      <c r="I3541" t="s">
        <v>4357</v>
      </c>
      <c r="J3541" s="9"/>
      <c r="K3541" s="9"/>
      <c r="L3541" s="9"/>
    </row>
    <row r="3542" spans="2:12" ht="15" x14ac:dyDescent="0.25">
      <c r="B3542" t="s">
        <v>3400</v>
      </c>
      <c r="C3542" t="s">
        <v>3401</v>
      </c>
      <c r="D3542" t="str">
        <f>HYPERLINK("https://rhld.insurance.arkansas.gov/NPILookup?Npi=1063108280","1063108280")</f>
        <v>1063108280</v>
      </c>
      <c r="E3542" t="s">
        <v>2193</v>
      </c>
      <c r="F3542" t="s">
        <v>13</v>
      </c>
      <c r="G3542" s="20">
        <v>1</v>
      </c>
      <c r="H3542" t="s">
        <v>4357</v>
      </c>
      <c r="I3542" t="s">
        <v>4357</v>
      </c>
      <c r="J3542" s="9"/>
      <c r="K3542" s="9"/>
      <c r="L3542" s="9"/>
    </row>
    <row r="3543" spans="2:12" ht="15" x14ac:dyDescent="0.25">
      <c r="B3543" t="s">
        <v>3400</v>
      </c>
      <c r="C3543" t="s">
        <v>3401</v>
      </c>
      <c r="D3543" t="str">
        <f>HYPERLINK("https://rhld.insurance.arkansas.gov/NPILookup?Npi=1063119113","1063119113")</f>
        <v>1063119113</v>
      </c>
      <c r="E3543" t="s">
        <v>2195</v>
      </c>
      <c r="F3543" t="s">
        <v>13</v>
      </c>
      <c r="G3543" s="20">
        <v>1</v>
      </c>
      <c r="H3543" t="s">
        <v>4357</v>
      </c>
      <c r="I3543" t="s">
        <v>4357</v>
      </c>
      <c r="J3543" s="9"/>
      <c r="K3543" s="9"/>
      <c r="L3543" s="9"/>
    </row>
    <row r="3544" spans="2:12" ht="15" x14ac:dyDescent="0.25">
      <c r="B3544" t="s">
        <v>3400</v>
      </c>
      <c r="C3544" t="s">
        <v>3401</v>
      </c>
      <c r="D3544" t="str">
        <f>HYPERLINK("https://rhld.insurance.arkansas.gov/NPILookup?Npi=1063207538","1063207538")</f>
        <v>1063207538</v>
      </c>
      <c r="E3544" t="s">
        <v>2048</v>
      </c>
      <c r="F3544" t="s">
        <v>13</v>
      </c>
      <c r="G3544" s="20">
        <v>1</v>
      </c>
      <c r="H3544" t="s">
        <v>4357</v>
      </c>
      <c r="I3544" t="s">
        <v>4357</v>
      </c>
      <c r="J3544" s="9"/>
      <c r="K3544" s="9"/>
      <c r="L3544" s="9"/>
    </row>
    <row r="3545" spans="2:12" ht="15" x14ac:dyDescent="0.25">
      <c r="B3545" t="s">
        <v>3400</v>
      </c>
      <c r="C3545" t="s">
        <v>3401</v>
      </c>
      <c r="D3545" t="str">
        <f>HYPERLINK("https://rhld.insurance.arkansas.gov/NPILookup?Npi=1063227171","1063227171")</f>
        <v>1063227171</v>
      </c>
      <c r="E3545" t="s">
        <v>2197</v>
      </c>
      <c r="F3545" t="s">
        <v>13</v>
      </c>
      <c r="G3545" s="20">
        <v>1</v>
      </c>
      <c r="H3545" t="s">
        <v>4357</v>
      </c>
      <c r="I3545" t="s">
        <v>4357</v>
      </c>
      <c r="J3545" s="9"/>
      <c r="K3545" s="9"/>
      <c r="L3545" s="9"/>
    </row>
    <row r="3546" spans="2:12" ht="15" x14ac:dyDescent="0.25">
      <c r="B3546" t="s">
        <v>3400</v>
      </c>
      <c r="C3546" t="s">
        <v>3401</v>
      </c>
      <c r="D3546" t="str">
        <f>HYPERLINK("https://rhld.insurance.arkansas.gov/NPILookup?Npi=1063406114","1063406114")</f>
        <v>1063406114</v>
      </c>
      <c r="E3546" t="s">
        <v>2199</v>
      </c>
      <c r="F3546" t="s">
        <v>13</v>
      </c>
      <c r="G3546" s="20">
        <v>1</v>
      </c>
      <c r="H3546" t="s">
        <v>3403</v>
      </c>
      <c r="I3546" t="s">
        <v>4357</v>
      </c>
      <c r="J3546" s="9"/>
      <c r="K3546" s="9"/>
      <c r="L3546" s="9"/>
    </row>
    <row r="3547" spans="2:12" ht="15" x14ac:dyDescent="0.25">
      <c r="B3547" t="s">
        <v>3400</v>
      </c>
      <c r="C3547" t="s">
        <v>3401</v>
      </c>
      <c r="D3547" t="str">
        <f>HYPERLINK("https://rhld.insurance.arkansas.gov/NPILookup?Npi=1063440899","1063440899")</f>
        <v>1063440899</v>
      </c>
      <c r="E3547" t="s">
        <v>3446</v>
      </c>
      <c r="F3547" t="s">
        <v>13</v>
      </c>
      <c r="G3547" s="20">
        <v>1</v>
      </c>
      <c r="H3547" t="s">
        <v>3403</v>
      </c>
      <c r="I3547" t="s">
        <v>32</v>
      </c>
      <c r="J3547" s="9"/>
      <c r="K3547" s="9"/>
      <c r="L3547" s="9"/>
    </row>
    <row r="3548" spans="2:12" ht="15" x14ac:dyDescent="0.25">
      <c r="B3548" t="s">
        <v>3400</v>
      </c>
      <c r="C3548" t="s">
        <v>3401</v>
      </c>
      <c r="D3548" t="str">
        <f>HYPERLINK("https://rhld.insurance.arkansas.gov/NPILookup?Npi=1063499150","1063499150")</f>
        <v>1063499150</v>
      </c>
      <c r="E3548" t="s">
        <v>3447</v>
      </c>
      <c r="F3548" t="s">
        <v>13</v>
      </c>
      <c r="G3548" s="20">
        <v>1</v>
      </c>
      <c r="H3548" t="s">
        <v>3403</v>
      </c>
      <c r="I3548" t="s">
        <v>32</v>
      </c>
      <c r="J3548" s="9"/>
      <c r="K3548" s="9"/>
      <c r="L3548" s="9"/>
    </row>
    <row r="3549" spans="2:12" ht="15" x14ac:dyDescent="0.25">
      <c r="B3549" t="s">
        <v>3400</v>
      </c>
      <c r="C3549" t="s">
        <v>3401</v>
      </c>
      <c r="D3549" t="str">
        <f>HYPERLINK("https://rhld.insurance.arkansas.gov/NPILookup?Npi=1063597979","1063597979")</f>
        <v>1063597979</v>
      </c>
      <c r="E3549" t="s">
        <v>3448</v>
      </c>
      <c r="F3549" t="s">
        <v>13</v>
      </c>
      <c r="G3549" s="20">
        <v>1</v>
      </c>
      <c r="H3549" t="s">
        <v>87</v>
      </c>
      <c r="I3549" t="s">
        <v>32</v>
      </c>
      <c r="J3549" s="9"/>
      <c r="K3549" s="9"/>
      <c r="L3549" s="9"/>
    </row>
    <row r="3550" spans="2:12" ht="15" x14ac:dyDescent="0.25">
      <c r="B3550" t="s">
        <v>3400</v>
      </c>
      <c r="C3550" t="s">
        <v>3401</v>
      </c>
      <c r="D3550" t="str">
        <f>HYPERLINK("https://rhld.insurance.arkansas.gov/NPILookup?Npi=1063614907","1063614907")</f>
        <v>1063614907</v>
      </c>
      <c r="E3550" t="s">
        <v>3449</v>
      </c>
      <c r="F3550" t="s">
        <v>13</v>
      </c>
      <c r="G3550" s="20">
        <v>1</v>
      </c>
      <c r="H3550" t="s">
        <v>87</v>
      </c>
      <c r="I3550" t="s">
        <v>4357</v>
      </c>
      <c r="J3550" s="9"/>
      <c r="K3550" s="9"/>
      <c r="L3550" s="9"/>
    </row>
    <row r="3551" spans="2:12" ht="15" x14ac:dyDescent="0.25">
      <c r="B3551" t="s">
        <v>3400</v>
      </c>
      <c r="C3551" t="s">
        <v>3401</v>
      </c>
      <c r="D3551" t="str">
        <f>HYPERLINK("https://rhld.insurance.arkansas.gov/NPILookup?Npi=1063622652","1063622652")</f>
        <v>1063622652</v>
      </c>
      <c r="E3551" t="s">
        <v>3450</v>
      </c>
      <c r="F3551" t="s">
        <v>13</v>
      </c>
      <c r="G3551" s="20">
        <v>1</v>
      </c>
      <c r="H3551" t="s">
        <v>3403</v>
      </c>
      <c r="I3551" t="s">
        <v>32</v>
      </c>
      <c r="J3551" s="9"/>
      <c r="K3551" s="9"/>
      <c r="L3551" s="9"/>
    </row>
    <row r="3552" spans="2:12" ht="15" x14ac:dyDescent="0.25">
      <c r="B3552" t="s">
        <v>3400</v>
      </c>
      <c r="C3552" t="s">
        <v>3401</v>
      </c>
      <c r="D3552" t="str">
        <f>HYPERLINK("https://rhld.insurance.arkansas.gov/NPILookup?Npi=1063629962","1063629962")</f>
        <v>1063629962</v>
      </c>
      <c r="E3552" t="s">
        <v>3451</v>
      </c>
      <c r="F3552" t="s">
        <v>13</v>
      </c>
      <c r="G3552" s="20">
        <v>1</v>
      </c>
      <c r="H3552" t="s">
        <v>4357</v>
      </c>
      <c r="I3552" t="s">
        <v>4357</v>
      </c>
      <c r="J3552" s="9"/>
      <c r="K3552" s="9"/>
      <c r="L3552" s="9"/>
    </row>
    <row r="3553" spans="2:12" ht="15" x14ac:dyDescent="0.25">
      <c r="B3553" t="s">
        <v>3400</v>
      </c>
      <c r="C3553" t="s">
        <v>3401</v>
      </c>
      <c r="D3553" t="str">
        <f>HYPERLINK("https://rhld.insurance.arkansas.gov/NPILookup?Npi=1063957546","1063957546")</f>
        <v>1063957546</v>
      </c>
      <c r="E3553" t="s">
        <v>3452</v>
      </c>
      <c r="F3553" t="s">
        <v>13</v>
      </c>
      <c r="G3553" s="20">
        <v>1</v>
      </c>
      <c r="H3553" t="s">
        <v>3403</v>
      </c>
      <c r="I3553" t="s">
        <v>32</v>
      </c>
      <c r="J3553" s="9"/>
      <c r="K3553" s="9"/>
      <c r="L3553" s="9"/>
    </row>
    <row r="3554" spans="2:12" ht="15" x14ac:dyDescent="0.25">
      <c r="B3554" t="s">
        <v>3400</v>
      </c>
      <c r="C3554" t="s">
        <v>3401</v>
      </c>
      <c r="D3554" t="str">
        <f>HYPERLINK("https://rhld.insurance.arkansas.gov/NPILookup?Npi=1063977965","1063977965")</f>
        <v>1063977965</v>
      </c>
      <c r="E3554" t="s">
        <v>3453</v>
      </c>
      <c r="F3554" t="s">
        <v>13</v>
      </c>
      <c r="G3554" s="20">
        <v>1</v>
      </c>
      <c r="H3554" t="s">
        <v>3403</v>
      </c>
      <c r="I3554" t="s">
        <v>32</v>
      </c>
      <c r="J3554" s="9"/>
      <c r="K3554" s="9"/>
      <c r="L3554" s="9"/>
    </row>
    <row r="3555" spans="2:12" ht="15" x14ac:dyDescent="0.25">
      <c r="B3555" t="s">
        <v>3400</v>
      </c>
      <c r="C3555" t="s">
        <v>3401</v>
      </c>
      <c r="D3555" t="str">
        <f>HYPERLINK("https://rhld.insurance.arkansas.gov/NPILookup?Npi=1063979128","1063979128")</f>
        <v>1063979128</v>
      </c>
      <c r="E3555" t="s">
        <v>2207</v>
      </c>
      <c r="F3555" t="s">
        <v>13</v>
      </c>
      <c r="G3555" s="20">
        <v>1</v>
      </c>
      <c r="H3555" t="s">
        <v>4357</v>
      </c>
      <c r="I3555" t="s">
        <v>4357</v>
      </c>
      <c r="J3555" s="9"/>
      <c r="K3555" s="9"/>
      <c r="L3555" s="9"/>
    </row>
    <row r="3556" spans="2:12" ht="15" x14ac:dyDescent="0.25">
      <c r="B3556" t="s">
        <v>3400</v>
      </c>
      <c r="C3556" t="s">
        <v>3401</v>
      </c>
      <c r="D3556" t="str">
        <f>HYPERLINK("https://rhld.insurance.arkansas.gov/NPILookup?Npi=1063999464","1063999464")</f>
        <v>1063999464</v>
      </c>
      <c r="E3556" t="s">
        <v>2208</v>
      </c>
      <c r="F3556" t="s">
        <v>13</v>
      </c>
      <c r="G3556" s="20">
        <v>1</v>
      </c>
      <c r="H3556" t="s">
        <v>3403</v>
      </c>
      <c r="I3556" t="s">
        <v>4357</v>
      </c>
      <c r="J3556" s="9"/>
      <c r="K3556" s="9"/>
      <c r="L3556" s="9"/>
    </row>
    <row r="3557" spans="2:12" ht="15" x14ac:dyDescent="0.25">
      <c r="B3557" t="s">
        <v>3400</v>
      </c>
      <c r="C3557" t="s">
        <v>3401</v>
      </c>
      <c r="D3557" t="str">
        <f>HYPERLINK("https://rhld.insurance.arkansas.gov/NPILookup?Npi=1073075735","1073075735")</f>
        <v>1073075735</v>
      </c>
      <c r="E3557" t="s">
        <v>3454</v>
      </c>
      <c r="F3557" t="s">
        <v>13</v>
      </c>
      <c r="G3557" s="20">
        <v>1</v>
      </c>
      <c r="H3557" t="s">
        <v>3403</v>
      </c>
      <c r="I3557" t="s">
        <v>32</v>
      </c>
      <c r="J3557" s="9"/>
      <c r="K3557" s="9"/>
      <c r="L3557" s="9"/>
    </row>
    <row r="3558" spans="2:12" ht="15" x14ac:dyDescent="0.25">
      <c r="B3558" t="s">
        <v>3400</v>
      </c>
      <c r="C3558" t="s">
        <v>3401</v>
      </c>
      <c r="D3558" t="str">
        <f>HYPERLINK("https://rhld.insurance.arkansas.gov/NPILookup?Npi=1073194023","1073194023")</f>
        <v>1073194023</v>
      </c>
      <c r="E3558" t="s">
        <v>2211</v>
      </c>
      <c r="F3558" t="s">
        <v>13</v>
      </c>
      <c r="G3558" s="20">
        <v>1</v>
      </c>
      <c r="H3558" t="s">
        <v>4357</v>
      </c>
      <c r="I3558" t="s">
        <v>4357</v>
      </c>
      <c r="J3558" s="9"/>
      <c r="K3558" s="9"/>
      <c r="L3558" s="9"/>
    </row>
    <row r="3559" spans="2:12" ht="15" x14ac:dyDescent="0.25">
      <c r="B3559" t="s">
        <v>3400</v>
      </c>
      <c r="C3559" t="s">
        <v>3401</v>
      </c>
      <c r="D3559" t="str">
        <f>HYPERLINK("https://rhld.insurance.arkansas.gov/NPILookup?Npi=1073269106","1073269106")</f>
        <v>1073269106</v>
      </c>
      <c r="E3559" t="s">
        <v>3455</v>
      </c>
      <c r="F3559" t="s">
        <v>13</v>
      </c>
      <c r="G3559" s="20">
        <v>1</v>
      </c>
      <c r="H3559" t="s">
        <v>3403</v>
      </c>
      <c r="I3559" t="s">
        <v>4357</v>
      </c>
      <c r="J3559" s="9"/>
      <c r="K3559" s="9"/>
      <c r="L3559" s="9"/>
    </row>
    <row r="3560" spans="2:12" ht="15" x14ac:dyDescent="0.25">
      <c r="B3560" t="s">
        <v>3400</v>
      </c>
      <c r="C3560" t="s">
        <v>3401</v>
      </c>
      <c r="D3560" t="str">
        <f>HYPERLINK("https://rhld.insurance.arkansas.gov/NPILookup?Npi=1073296471","1073296471")</f>
        <v>1073296471</v>
      </c>
      <c r="E3560" t="s">
        <v>2212</v>
      </c>
      <c r="F3560" t="s">
        <v>13</v>
      </c>
      <c r="G3560" s="20">
        <v>1</v>
      </c>
      <c r="H3560" t="s">
        <v>4357</v>
      </c>
      <c r="I3560" t="s">
        <v>4357</v>
      </c>
      <c r="J3560" s="9"/>
      <c r="K3560" s="9"/>
      <c r="L3560" s="9"/>
    </row>
    <row r="3561" spans="2:12" ht="15" x14ac:dyDescent="0.25">
      <c r="B3561" t="s">
        <v>3400</v>
      </c>
      <c r="C3561" t="s">
        <v>3401</v>
      </c>
      <c r="D3561" t="str">
        <f>HYPERLINK("https://rhld.insurance.arkansas.gov/NPILookup?Npi=1073326765","1073326765")</f>
        <v>1073326765</v>
      </c>
      <c r="E3561" t="s">
        <v>2213</v>
      </c>
      <c r="F3561" t="s">
        <v>13</v>
      </c>
      <c r="G3561" s="20">
        <v>1</v>
      </c>
      <c r="H3561" t="s">
        <v>4357</v>
      </c>
      <c r="I3561" t="s">
        <v>4357</v>
      </c>
      <c r="J3561" s="9"/>
      <c r="K3561" s="9"/>
      <c r="L3561" s="9"/>
    </row>
    <row r="3562" spans="2:12" ht="15" x14ac:dyDescent="0.25">
      <c r="B3562" t="s">
        <v>3400</v>
      </c>
      <c r="C3562" t="s">
        <v>3401</v>
      </c>
      <c r="D3562" t="str">
        <f>HYPERLINK("https://rhld.insurance.arkansas.gov/NPILookup?Npi=1073512828","1073512828")</f>
        <v>1073512828</v>
      </c>
      <c r="E3562" t="s">
        <v>406</v>
      </c>
      <c r="F3562" t="s">
        <v>13</v>
      </c>
      <c r="G3562" s="20">
        <v>1</v>
      </c>
      <c r="H3562" t="s">
        <v>3403</v>
      </c>
      <c r="I3562" t="s">
        <v>32</v>
      </c>
      <c r="J3562" s="9"/>
      <c r="K3562" s="9"/>
      <c r="L3562" s="9"/>
    </row>
    <row r="3563" spans="2:12" ht="15" x14ac:dyDescent="0.25">
      <c r="B3563" t="s">
        <v>3400</v>
      </c>
      <c r="C3563" t="s">
        <v>3401</v>
      </c>
      <c r="D3563" t="str">
        <f>HYPERLINK("https://rhld.insurance.arkansas.gov/NPILookup?Npi=1073536132","1073536132")</f>
        <v>1073536132</v>
      </c>
      <c r="E3563" t="s">
        <v>3456</v>
      </c>
      <c r="F3563" t="s">
        <v>13</v>
      </c>
      <c r="G3563" s="20">
        <v>1</v>
      </c>
      <c r="H3563" t="s">
        <v>3403</v>
      </c>
      <c r="I3563" t="s">
        <v>4357</v>
      </c>
      <c r="J3563" s="9"/>
      <c r="K3563" s="9"/>
      <c r="L3563" s="9"/>
    </row>
    <row r="3564" spans="2:12" ht="15" x14ac:dyDescent="0.25">
      <c r="B3564" t="s">
        <v>3400</v>
      </c>
      <c r="C3564" t="s">
        <v>3401</v>
      </c>
      <c r="D3564" t="str">
        <f>HYPERLINK("https://rhld.insurance.arkansas.gov/NPILookup?Npi=1073569828","1073569828")</f>
        <v>1073569828</v>
      </c>
      <c r="E3564" t="s">
        <v>3457</v>
      </c>
      <c r="F3564" t="s">
        <v>13</v>
      </c>
      <c r="G3564" s="20">
        <v>1</v>
      </c>
      <c r="H3564" t="s">
        <v>3403</v>
      </c>
      <c r="I3564" t="s">
        <v>32</v>
      </c>
      <c r="J3564" s="9"/>
      <c r="K3564" s="9"/>
      <c r="L3564" s="9"/>
    </row>
    <row r="3565" spans="2:12" ht="15" x14ac:dyDescent="0.25">
      <c r="B3565" t="s">
        <v>3400</v>
      </c>
      <c r="C3565" t="s">
        <v>3401</v>
      </c>
      <c r="D3565" t="str">
        <f>HYPERLINK("https://rhld.insurance.arkansas.gov/NPILookup?Npi=1073592523","1073592523")</f>
        <v>1073592523</v>
      </c>
      <c r="E3565" t="s">
        <v>3458</v>
      </c>
      <c r="F3565" t="s">
        <v>13</v>
      </c>
      <c r="G3565" s="20">
        <v>1</v>
      </c>
      <c r="H3565" t="s">
        <v>3403</v>
      </c>
      <c r="I3565" t="s">
        <v>32</v>
      </c>
      <c r="J3565" s="9"/>
      <c r="K3565" s="9"/>
      <c r="L3565" s="9"/>
    </row>
    <row r="3566" spans="2:12" ht="15" x14ac:dyDescent="0.25">
      <c r="B3566" t="s">
        <v>3400</v>
      </c>
      <c r="C3566" t="s">
        <v>3401</v>
      </c>
      <c r="D3566" t="str">
        <f>HYPERLINK("https://rhld.insurance.arkansas.gov/NPILookup?Npi=1073603403","1073603403")</f>
        <v>1073603403</v>
      </c>
      <c r="E3566" t="s">
        <v>2216</v>
      </c>
      <c r="F3566" t="s">
        <v>12</v>
      </c>
      <c r="G3566" s="20">
        <v>1</v>
      </c>
      <c r="H3566" t="s">
        <v>4338</v>
      </c>
      <c r="I3566" t="s">
        <v>4357</v>
      </c>
      <c r="J3566" s="9"/>
      <c r="K3566" s="9"/>
      <c r="L3566" s="9"/>
    </row>
    <row r="3567" spans="2:12" ht="15" x14ac:dyDescent="0.25">
      <c r="B3567" t="s">
        <v>3400</v>
      </c>
      <c r="C3567" t="s">
        <v>3401</v>
      </c>
      <c r="D3567" t="str">
        <f>HYPERLINK("https://rhld.insurance.arkansas.gov/NPILookup?Npi=1073806618","1073806618")</f>
        <v>1073806618</v>
      </c>
      <c r="E3567" t="s">
        <v>3459</v>
      </c>
      <c r="F3567" t="s">
        <v>12</v>
      </c>
      <c r="G3567" s="20">
        <v>1</v>
      </c>
      <c r="H3567" t="s">
        <v>4338</v>
      </c>
      <c r="I3567" t="s">
        <v>32</v>
      </c>
      <c r="J3567" s="9"/>
      <c r="K3567" s="9"/>
      <c r="L3567" s="9"/>
    </row>
    <row r="3568" spans="2:12" ht="15" x14ac:dyDescent="0.25">
      <c r="B3568" t="s">
        <v>3400</v>
      </c>
      <c r="C3568" t="s">
        <v>3401</v>
      </c>
      <c r="D3568" t="str">
        <f>HYPERLINK("https://rhld.insurance.arkansas.gov/NPILookup?Npi=1073953626","1073953626")</f>
        <v>1073953626</v>
      </c>
      <c r="E3568" t="s">
        <v>2218</v>
      </c>
      <c r="F3568" t="s">
        <v>13</v>
      </c>
      <c r="G3568" s="20">
        <v>1</v>
      </c>
      <c r="H3568" t="s">
        <v>3403</v>
      </c>
      <c r="I3568" t="s">
        <v>4357</v>
      </c>
      <c r="J3568" s="9"/>
      <c r="K3568" s="9"/>
      <c r="L3568" s="9"/>
    </row>
    <row r="3569" spans="2:12" ht="15" x14ac:dyDescent="0.25">
      <c r="B3569" t="s">
        <v>3400</v>
      </c>
      <c r="C3569" t="s">
        <v>3401</v>
      </c>
      <c r="D3569" t="str">
        <f>HYPERLINK("https://rhld.insurance.arkansas.gov/NPILookup?Npi=1073970166","1073970166")</f>
        <v>1073970166</v>
      </c>
      <c r="E3569" t="s">
        <v>3460</v>
      </c>
      <c r="F3569" t="s">
        <v>13</v>
      </c>
      <c r="G3569" s="20">
        <v>1</v>
      </c>
      <c r="H3569" t="s">
        <v>3403</v>
      </c>
      <c r="I3569" t="s">
        <v>32</v>
      </c>
      <c r="J3569" s="9"/>
      <c r="K3569" s="9"/>
      <c r="L3569" s="9"/>
    </row>
    <row r="3570" spans="2:12" ht="15" x14ac:dyDescent="0.25">
      <c r="B3570" t="s">
        <v>3400</v>
      </c>
      <c r="C3570" t="s">
        <v>3401</v>
      </c>
      <c r="D3570" t="str">
        <f>HYPERLINK("https://rhld.insurance.arkansas.gov/NPILookup?Npi=1083001382","1083001382")</f>
        <v>1083001382</v>
      </c>
      <c r="E3570" t="s">
        <v>3461</v>
      </c>
      <c r="F3570" t="s">
        <v>12</v>
      </c>
      <c r="G3570" s="20">
        <v>1</v>
      </c>
      <c r="H3570" t="s">
        <v>4338</v>
      </c>
      <c r="I3570" t="s">
        <v>32</v>
      </c>
      <c r="J3570" s="9"/>
      <c r="K3570" s="9"/>
      <c r="L3570" s="9"/>
    </row>
    <row r="3571" spans="2:12" ht="15" x14ac:dyDescent="0.25">
      <c r="B3571" t="s">
        <v>3400</v>
      </c>
      <c r="C3571" t="s">
        <v>3401</v>
      </c>
      <c r="D3571" t="str">
        <f>HYPERLINK("https://rhld.insurance.arkansas.gov/NPILookup?Npi=1083289144","1083289144")</f>
        <v>1083289144</v>
      </c>
      <c r="E3571" t="s">
        <v>2222</v>
      </c>
      <c r="F3571" t="s">
        <v>13</v>
      </c>
      <c r="G3571" s="20">
        <v>1</v>
      </c>
      <c r="H3571" t="s">
        <v>4357</v>
      </c>
      <c r="I3571" t="s">
        <v>4357</v>
      </c>
      <c r="J3571" s="9"/>
      <c r="K3571" s="9"/>
      <c r="L3571" s="9"/>
    </row>
    <row r="3572" spans="2:12" ht="15" x14ac:dyDescent="0.25">
      <c r="B3572" t="s">
        <v>3400</v>
      </c>
      <c r="C3572" t="s">
        <v>3401</v>
      </c>
      <c r="D3572" t="str">
        <f>HYPERLINK("https://rhld.insurance.arkansas.gov/NPILookup?Npi=1083297741","1083297741")</f>
        <v>1083297741</v>
      </c>
      <c r="E3572" t="s">
        <v>3462</v>
      </c>
      <c r="F3572" t="s">
        <v>13</v>
      </c>
      <c r="G3572" s="20">
        <v>1</v>
      </c>
      <c r="H3572" t="s">
        <v>3403</v>
      </c>
      <c r="I3572" t="s">
        <v>32</v>
      </c>
      <c r="J3572" s="9"/>
      <c r="K3572" s="9"/>
      <c r="L3572" s="9"/>
    </row>
    <row r="3573" spans="2:12" ht="15" x14ac:dyDescent="0.25">
      <c r="B3573" t="s">
        <v>3400</v>
      </c>
      <c r="C3573" t="s">
        <v>3401</v>
      </c>
      <c r="D3573" t="str">
        <f>HYPERLINK("https://rhld.insurance.arkansas.gov/NPILookup?Npi=1083315170","1083315170")</f>
        <v>1083315170</v>
      </c>
      <c r="E3573" t="s">
        <v>2223</v>
      </c>
      <c r="F3573" t="s">
        <v>13</v>
      </c>
      <c r="G3573" s="20">
        <v>1</v>
      </c>
      <c r="H3573" t="s">
        <v>4357</v>
      </c>
      <c r="I3573" t="s">
        <v>4357</v>
      </c>
      <c r="J3573" s="9"/>
      <c r="K3573" s="9"/>
      <c r="L3573" s="9"/>
    </row>
    <row r="3574" spans="2:12" ht="15" x14ac:dyDescent="0.25">
      <c r="B3574" t="s">
        <v>3400</v>
      </c>
      <c r="C3574" t="s">
        <v>3401</v>
      </c>
      <c r="D3574" t="str">
        <f>HYPERLINK("https://rhld.insurance.arkansas.gov/NPILookup?Npi=1083371686","1083371686")</f>
        <v>1083371686</v>
      </c>
      <c r="E3574" t="s">
        <v>3463</v>
      </c>
      <c r="F3574" t="s">
        <v>13</v>
      </c>
      <c r="G3574" s="20">
        <v>1</v>
      </c>
      <c r="H3574" t="s">
        <v>3403</v>
      </c>
      <c r="I3574" t="s">
        <v>32</v>
      </c>
      <c r="J3574" s="9"/>
      <c r="K3574" s="9"/>
      <c r="L3574" s="9"/>
    </row>
    <row r="3575" spans="2:12" ht="15" x14ac:dyDescent="0.25">
      <c r="B3575" t="s">
        <v>3400</v>
      </c>
      <c r="C3575" t="s">
        <v>3401</v>
      </c>
      <c r="D3575" t="str">
        <f>HYPERLINK("https://rhld.insurance.arkansas.gov/NPILookup?Npi=1083388359","1083388359")</f>
        <v>1083388359</v>
      </c>
      <c r="E3575" t="s">
        <v>3464</v>
      </c>
      <c r="F3575" t="s">
        <v>13</v>
      </c>
      <c r="G3575" s="20">
        <v>1</v>
      </c>
      <c r="H3575" t="s">
        <v>3403</v>
      </c>
      <c r="I3575" t="s">
        <v>4357</v>
      </c>
      <c r="J3575" s="9"/>
      <c r="K3575" s="9"/>
      <c r="L3575" s="9"/>
    </row>
    <row r="3576" spans="2:12" ht="15" x14ac:dyDescent="0.25">
      <c r="B3576" t="s">
        <v>3400</v>
      </c>
      <c r="C3576" t="s">
        <v>3401</v>
      </c>
      <c r="D3576" t="str">
        <f>HYPERLINK("https://rhld.insurance.arkansas.gov/NPILookup?Npi=1083433403","1083433403")</f>
        <v>1083433403</v>
      </c>
      <c r="E3576" t="s">
        <v>2049</v>
      </c>
      <c r="F3576" t="s">
        <v>13</v>
      </c>
      <c r="G3576" s="20">
        <v>1</v>
      </c>
      <c r="H3576" t="s">
        <v>4357</v>
      </c>
      <c r="I3576" t="s">
        <v>4357</v>
      </c>
      <c r="J3576" s="9"/>
      <c r="K3576" s="9"/>
      <c r="L3576" s="9"/>
    </row>
    <row r="3577" spans="2:12" ht="15" x14ac:dyDescent="0.25">
      <c r="B3577" t="s">
        <v>3400</v>
      </c>
      <c r="C3577" t="s">
        <v>3401</v>
      </c>
      <c r="D3577" t="str">
        <f>HYPERLINK("https://rhld.insurance.arkansas.gov/NPILookup?Npi=1083433981","1083433981")</f>
        <v>1083433981</v>
      </c>
      <c r="E3577" t="s">
        <v>2050</v>
      </c>
      <c r="F3577" t="s">
        <v>13</v>
      </c>
      <c r="G3577" s="20">
        <v>1</v>
      </c>
      <c r="H3577" t="s">
        <v>4357</v>
      </c>
      <c r="I3577" t="s">
        <v>4357</v>
      </c>
      <c r="J3577" s="9"/>
      <c r="K3577" s="9"/>
      <c r="L3577" s="9"/>
    </row>
    <row r="3578" spans="2:12" ht="15" x14ac:dyDescent="0.25">
      <c r="B3578" t="s">
        <v>3400</v>
      </c>
      <c r="C3578" t="s">
        <v>3401</v>
      </c>
      <c r="D3578" t="str">
        <f>HYPERLINK("https://rhld.insurance.arkansas.gov/NPILookup?Npi=1083481139","1083481139")</f>
        <v>1083481139</v>
      </c>
      <c r="E3578" t="s">
        <v>3465</v>
      </c>
      <c r="F3578" t="s">
        <v>13</v>
      </c>
      <c r="G3578" s="20">
        <v>1</v>
      </c>
      <c r="H3578" t="s">
        <v>3403</v>
      </c>
      <c r="I3578" t="s">
        <v>4357</v>
      </c>
      <c r="J3578" s="9"/>
      <c r="K3578" s="9"/>
      <c r="L3578" s="9"/>
    </row>
    <row r="3579" spans="2:12" ht="15" x14ac:dyDescent="0.25">
      <c r="B3579" t="s">
        <v>3400</v>
      </c>
      <c r="C3579" t="s">
        <v>3401</v>
      </c>
      <c r="D3579" t="str">
        <f>HYPERLINK("https://rhld.insurance.arkansas.gov/NPILookup?Npi=1083616080","1083616080")</f>
        <v>1083616080</v>
      </c>
      <c r="E3579" t="s">
        <v>3466</v>
      </c>
      <c r="F3579" t="s">
        <v>13</v>
      </c>
      <c r="G3579" s="20">
        <v>1</v>
      </c>
      <c r="H3579" t="s">
        <v>3403</v>
      </c>
      <c r="I3579" t="s">
        <v>4357</v>
      </c>
      <c r="J3579" s="9"/>
      <c r="K3579" s="9"/>
      <c r="L3579" s="9"/>
    </row>
    <row r="3580" spans="2:12" ht="15" x14ac:dyDescent="0.25">
      <c r="B3580" t="s">
        <v>3400</v>
      </c>
      <c r="C3580" t="s">
        <v>3401</v>
      </c>
      <c r="D3580" t="str">
        <f>HYPERLINK("https://rhld.insurance.arkansas.gov/NPILookup?Npi=1083689855","1083689855")</f>
        <v>1083689855</v>
      </c>
      <c r="E3580" t="s">
        <v>415</v>
      </c>
      <c r="F3580" t="s">
        <v>13</v>
      </c>
      <c r="G3580" s="20">
        <v>1</v>
      </c>
      <c r="H3580" t="s">
        <v>3403</v>
      </c>
      <c r="I3580" t="s">
        <v>32</v>
      </c>
      <c r="J3580" s="9"/>
      <c r="K3580" s="9"/>
      <c r="L3580" s="9"/>
    </row>
    <row r="3581" spans="2:12" ht="15" x14ac:dyDescent="0.25">
      <c r="B3581" t="s">
        <v>3400</v>
      </c>
      <c r="C3581" t="s">
        <v>3401</v>
      </c>
      <c r="D3581" t="str">
        <f>HYPERLINK("https://rhld.insurance.arkansas.gov/NPILookup?Npi=1083714117","1083714117")</f>
        <v>1083714117</v>
      </c>
      <c r="E3581" t="s">
        <v>2229</v>
      </c>
      <c r="F3581" t="s">
        <v>13</v>
      </c>
      <c r="G3581" s="20">
        <v>1</v>
      </c>
      <c r="H3581" t="s">
        <v>3403</v>
      </c>
      <c r="I3581" t="s">
        <v>4357</v>
      </c>
      <c r="J3581" s="9"/>
      <c r="K3581" s="9"/>
      <c r="L3581" s="9"/>
    </row>
    <row r="3582" spans="2:12" ht="15" x14ac:dyDescent="0.25">
      <c r="B3582" t="s">
        <v>3400</v>
      </c>
      <c r="C3582" t="s">
        <v>3401</v>
      </c>
      <c r="D3582" t="str">
        <f>HYPERLINK("https://rhld.insurance.arkansas.gov/NPILookup?Npi=1083833313","1083833313")</f>
        <v>1083833313</v>
      </c>
      <c r="E3582" t="s">
        <v>3467</v>
      </c>
      <c r="F3582" t="s">
        <v>12</v>
      </c>
      <c r="G3582" s="20">
        <v>1</v>
      </c>
      <c r="H3582" t="s">
        <v>4338</v>
      </c>
      <c r="I3582" t="s">
        <v>32</v>
      </c>
      <c r="J3582" s="9"/>
      <c r="K3582" s="9"/>
      <c r="L3582" s="9"/>
    </row>
    <row r="3583" spans="2:12" ht="15" x14ac:dyDescent="0.25">
      <c r="B3583" t="s">
        <v>3400</v>
      </c>
      <c r="C3583" t="s">
        <v>3401</v>
      </c>
      <c r="D3583" t="str">
        <f>HYPERLINK("https://rhld.insurance.arkansas.gov/NPILookup?Npi=1083867444","1083867444")</f>
        <v>1083867444</v>
      </c>
      <c r="E3583" t="s">
        <v>3468</v>
      </c>
      <c r="F3583" t="s">
        <v>13</v>
      </c>
      <c r="G3583" s="20">
        <v>1</v>
      </c>
      <c r="H3583" t="s">
        <v>3403</v>
      </c>
      <c r="I3583" t="s">
        <v>32</v>
      </c>
      <c r="J3583" s="9"/>
      <c r="K3583" s="9"/>
      <c r="L3583" s="9"/>
    </row>
    <row r="3584" spans="2:12" ht="15" x14ac:dyDescent="0.25">
      <c r="B3584" t="s">
        <v>3400</v>
      </c>
      <c r="C3584" t="s">
        <v>3401</v>
      </c>
      <c r="D3584" t="str">
        <f>HYPERLINK("https://rhld.insurance.arkansas.gov/NPILookup?Npi=1083972293","1083972293")</f>
        <v>1083972293</v>
      </c>
      <c r="E3584" t="s">
        <v>3469</v>
      </c>
      <c r="F3584" t="s">
        <v>12</v>
      </c>
      <c r="G3584" s="20">
        <v>2</v>
      </c>
      <c r="H3584" t="s">
        <v>4352</v>
      </c>
      <c r="I3584" t="s">
        <v>32</v>
      </c>
      <c r="J3584" s="9"/>
      <c r="K3584" s="9"/>
      <c r="L3584" s="9"/>
    </row>
    <row r="3585" spans="2:12" ht="15" x14ac:dyDescent="0.25">
      <c r="B3585" t="s">
        <v>3400</v>
      </c>
      <c r="C3585" t="s">
        <v>3401</v>
      </c>
      <c r="D3585" t="str">
        <f>HYPERLINK("https://rhld.insurance.arkansas.gov/NPILookup?Npi=1093002768","1093002768")</f>
        <v>1093002768</v>
      </c>
      <c r="E3585" t="s">
        <v>2233</v>
      </c>
      <c r="F3585" t="s">
        <v>13</v>
      </c>
      <c r="G3585" s="20">
        <v>1</v>
      </c>
      <c r="H3585" t="s">
        <v>4357</v>
      </c>
      <c r="I3585" t="s">
        <v>4357</v>
      </c>
      <c r="J3585" s="9"/>
      <c r="K3585" s="9"/>
      <c r="L3585" s="9"/>
    </row>
    <row r="3586" spans="2:12" ht="15" x14ac:dyDescent="0.25">
      <c r="B3586" t="s">
        <v>3400</v>
      </c>
      <c r="C3586" t="s">
        <v>3401</v>
      </c>
      <c r="D3586" t="str">
        <f>HYPERLINK("https://rhld.insurance.arkansas.gov/NPILookup?Npi=1093021826","1093021826")</f>
        <v>1093021826</v>
      </c>
      <c r="E3586" t="s">
        <v>3470</v>
      </c>
      <c r="F3586" t="s">
        <v>13</v>
      </c>
      <c r="G3586" s="20">
        <v>1</v>
      </c>
      <c r="H3586" t="s">
        <v>3403</v>
      </c>
      <c r="I3586" t="s">
        <v>32</v>
      </c>
      <c r="J3586" s="9"/>
      <c r="K3586" s="9"/>
      <c r="L3586" s="9"/>
    </row>
    <row r="3587" spans="2:12" ht="15" x14ac:dyDescent="0.25">
      <c r="B3587" t="s">
        <v>3400</v>
      </c>
      <c r="C3587" t="s">
        <v>3401</v>
      </c>
      <c r="D3587" t="str">
        <f>HYPERLINK("https://rhld.insurance.arkansas.gov/NPILookup?Npi=1093156309","1093156309")</f>
        <v>1093156309</v>
      </c>
      <c r="E3587" t="s">
        <v>2051</v>
      </c>
      <c r="F3587" t="s">
        <v>13</v>
      </c>
      <c r="G3587" s="20">
        <v>1</v>
      </c>
      <c r="H3587" t="s">
        <v>4357</v>
      </c>
      <c r="I3587" t="s">
        <v>4357</v>
      </c>
      <c r="J3587" s="9"/>
      <c r="K3587" s="9"/>
      <c r="L3587" s="9"/>
    </row>
    <row r="3588" spans="2:12" ht="15" x14ac:dyDescent="0.25">
      <c r="B3588" t="s">
        <v>3400</v>
      </c>
      <c r="C3588" t="s">
        <v>3401</v>
      </c>
      <c r="D3588" t="str">
        <f>HYPERLINK("https://rhld.insurance.arkansas.gov/NPILookup?Npi=1093274177","1093274177")</f>
        <v>1093274177</v>
      </c>
      <c r="E3588" t="s">
        <v>2239</v>
      </c>
      <c r="F3588" t="s">
        <v>13</v>
      </c>
      <c r="G3588" s="20">
        <v>1</v>
      </c>
      <c r="H3588" t="s">
        <v>4357</v>
      </c>
      <c r="I3588" t="s">
        <v>4357</v>
      </c>
      <c r="J3588" s="9"/>
      <c r="K3588" s="9"/>
      <c r="L3588" s="9"/>
    </row>
    <row r="3589" spans="2:12" ht="15" x14ac:dyDescent="0.25">
      <c r="B3589" t="s">
        <v>3400</v>
      </c>
      <c r="C3589" t="s">
        <v>3401</v>
      </c>
      <c r="D3589" t="str">
        <f>HYPERLINK("https://rhld.insurance.arkansas.gov/NPILookup?Npi=1093334302","1093334302")</f>
        <v>1093334302</v>
      </c>
      <c r="E3589" t="s">
        <v>3471</v>
      </c>
      <c r="F3589" t="s">
        <v>13</v>
      </c>
      <c r="G3589" s="20">
        <v>1</v>
      </c>
      <c r="H3589" t="s">
        <v>4357</v>
      </c>
      <c r="I3589" t="s">
        <v>4357</v>
      </c>
      <c r="J3589" s="9"/>
      <c r="K3589" s="9"/>
      <c r="L3589" s="9"/>
    </row>
    <row r="3590" spans="2:12" ht="15" x14ac:dyDescent="0.25">
      <c r="B3590" t="s">
        <v>3400</v>
      </c>
      <c r="C3590" t="s">
        <v>3401</v>
      </c>
      <c r="D3590" t="str">
        <f>HYPERLINK("https://rhld.insurance.arkansas.gov/NPILookup?Npi=1093430225","1093430225")</f>
        <v>1093430225</v>
      </c>
      <c r="E3590" t="s">
        <v>3472</v>
      </c>
      <c r="F3590" t="s">
        <v>13</v>
      </c>
      <c r="G3590" s="20">
        <v>1</v>
      </c>
      <c r="H3590" t="s">
        <v>3403</v>
      </c>
      <c r="I3590" t="s">
        <v>32</v>
      </c>
      <c r="J3590" s="9"/>
      <c r="K3590" s="9"/>
      <c r="L3590" s="9"/>
    </row>
    <row r="3591" spans="2:12" ht="15" x14ac:dyDescent="0.25">
      <c r="B3591" t="s">
        <v>3400</v>
      </c>
      <c r="C3591" t="s">
        <v>3401</v>
      </c>
      <c r="D3591" t="str">
        <f>HYPERLINK("https://rhld.insurance.arkansas.gov/NPILookup?Npi=1093435869","1093435869")</f>
        <v>1093435869</v>
      </c>
      <c r="E3591" t="s">
        <v>2241</v>
      </c>
      <c r="F3591" t="s">
        <v>13</v>
      </c>
      <c r="G3591" s="20">
        <v>1</v>
      </c>
      <c r="H3591" t="s">
        <v>4357</v>
      </c>
      <c r="I3591" t="s">
        <v>32</v>
      </c>
      <c r="J3591" s="9"/>
      <c r="K3591" s="9"/>
      <c r="L3591" s="9"/>
    </row>
    <row r="3592" spans="2:12" ht="15" x14ac:dyDescent="0.25">
      <c r="B3592" t="s">
        <v>3400</v>
      </c>
      <c r="C3592" t="s">
        <v>3401</v>
      </c>
      <c r="D3592" t="str">
        <f>HYPERLINK("https://rhld.insurance.arkansas.gov/NPILookup?Npi=1093526022","1093526022")</f>
        <v>1093526022</v>
      </c>
      <c r="E3592" t="s">
        <v>2052</v>
      </c>
      <c r="F3592" t="s">
        <v>13</v>
      </c>
      <c r="G3592" s="20">
        <v>1</v>
      </c>
      <c r="H3592" t="s">
        <v>4357</v>
      </c>
      <c r="I3592" t="s">
        <v>4357</v>
      </c>
      <c r="J3592" s="9"/>
      <c r="K3592" s="9"/>
      <c r="L3592" s="9"/>
    </row>
    <row r="3593" spans="2:12" ht="15" x14ac:dyDescent="0.25">
      <c r="B3593" t="s">
        <v>3400</v>
      </c>
      <c r="C3593" t="s">
        <v>3401</v>
      </c>
      <c r="D3593" t="str">
        <f>HYPERLINK("https://rhld.insurance.arkansas.gov/NPILookup?Npi=1093548711","1093548711")</f>
        <v>1093548711</v>
      </c>
      <c r="E3593" t="s">
        <v>2053</v>
      </c>
      <c r="F3593" t="s">
        <v>13</v>
      </c>
      <c r="G3593" s="20">
        <v>1</v>
      </c>
      <c r="H3593" t="s">
        <v>4357</v>
      </c>
      <c r="I3593" t="s">
        <v>4357</v>
      </c>
      <c r="J3593" s="9"/>
      <c r="K3593" s="9"/>
      <c r="L3593" s="9"/>
    </row>
    <row r="3594" spans="2:12" ht="15" x14ac:dyDescent="0.25">
      <c r="B3594" t="s">
        <v>3400</v>
      </c>
      <c r="C3594" t="s">
        <v>3401</v>
      </c>
      <c r="D3594" t="str">
        <f>HYPERLINK("https://rhld.insurance.arkansas.gov/NPILookup?Npi=1093550741","1093550741")</f>
        <v>1093550741</v>
      </c>
      <c r="E3594" t="s">
        <v>1554</v>
      </c>
      <c r="F3594" t="s">
        <v>13</v>
      </c>
      <c r="G3594" s="20">
        <v>1</v>
      </c>
      <c r="H3594" t="s">
        <v>4357</v>
      </c>
      <c r="I3594" t="s">
        <v>4357</v>
      </c>
      <c r="J3594" s="9"/>
      <c r="K3594" s="9"/>
      <c r="L3594" s="9"/>
    </row>
    <row r="3595" spans="2:12" ht="15" x14ac:dyDescent="0.25">
      <c r="B3595" t="s">
        <v>3400</v>
      </c>
      <c r="C3595" t="s">
        <v>3401</v>
      </c>
      <c r="D3595" t="str">
        <f>HYPERLINK("https://rhld.insurance.arkansas.gov/NPILookup?Npi=1093578114","1093578114")</f>
        <v>1093578114</v>
      </c>
      <c r="E3595" t="s">
        <v>3473</v>
      </c>
      <c r="F3595" t="s">
        <v>13</v>
      </c>
      <c r="G3595" s="20">
        <v>1</v>
      </c>
      <c r="H3595" t="s">
        <v>3403</v>
      </c>
      <c r="I3595" t="s">
        <v>4357</v>
      </c>
      <c r="J3595" s="9"/>
      <c r="K3595" s="9"/>
      <c r="L3595" s="9"/>
    </row>
    <row r="3596" spans="2:12" ht="15" x14ac:dyDescent="0.25">
      <c r="B3596" t="s">
        <v>3400</v>
      </c>
      <c r="C3596" t="s">
        <v>3401</v>
      </c>
      <c r="D3596" t="str">
        <f>HYPERLINK("https://rhld.insurance.arkansas.gov/NPILookup?Npi=1093579096","1093579096")</f>
        <v>1093579096</v>
      </c>
      <c r="E3596" t="s">
        <v>2242</v>
      </c>
      <c r="F3596" t="s">
        <v>13</v>
      </c>
      <c r="G3596" s="20">
        <v>1</v>
      </c>
      <c r="H3596" t="s">
        <v>4357</v>
      </c>
      <c r="I3596" t="s">
        <v>4357</v>
      </c>
      <c r="J3596" s="9"/>
      <c r="K3596" s="9"/>
      <c r="L3596" s="9"/>
    </row>
    <row r="3597" spans="2:12" ht="15" x14ac:dyDescent="0.25">
      <c r="B3597" t="s">
        <v>3400</v>
      </c>
      <c r="C3597" t="s">
        <v>3401</v>
      </c>
      <c r="D3597" t="str">
        <f>HYPERLINK("https://rhld.insurance.arkansas.gov/NPILookup?Npi=1093715641","1093715641")</f>
        <v>1093715641</v>
      </c>
      <c r="E3597" t="s">
        <v>3474</v>
      </c>
      <c r="F3597" t="s">
        <v>13</v>
      </c>
      <c r="G3597" s="20">
        <v>1</v>
      </c>
      <c r="H3597" t="s">
        <v>3403</v>
      </c>
      <c r="I3597" t="s">
        <v>4357</v>
      </c>
      <c r="J3597" s="9"/>
      <c r="K3597" s="9"/>
      <c r="L3597" s="9"/>
    </row>
    <row r="3598" spans="2:12" ht="15" x14ac:dyDescent="0.25">
      <c r="B3598" t="s">
        <v>3400</v>
      </c>
      <c r="C3598" t="s">
        <v>3401</v>
      </c>
      <c r="D3598" t="str">
        <f>HYPERLINK("https://rhld.insurance.arkansas.gov/NPILookup?Npi=1093717696","1093717696")</f>
        <v>1093717696</v>
      </c>
      <c r="E3598" t="s">
        <v>3475</v>
      </c>
      <c r="F3598" t="s">
        <v>13</v>
      </c>
      <c r="G3598" s="20">
        <v>1</v>
      </c>
      <c r="H3598" t="s">
        <v>3403</v>
      </c>
      <c r="I3598" t="s">
        <v>32</v>
      </c>
      <c r="J3598" s="9"/>
      <c r="K3598" s="9"/>
      <c r="L3598" s="9"/>
    </row>
    <row r="3599" spans="2:12" ht="15" x14ac:dyDescent="0.25">
      <c r="B3599" t="s">
        <v>3400</v>
      </c>
      <c r="C3599" t="s">
        <v>3401</v>
      </c>
      <c r="D3599" t="str">
        <f>HYPERLINK("https://rhld.insurance.arkansas.gov/NPILookup?Npi=1093752198","1093752198")</f>
        <v>1093752198</v>
      </c>
      <c r="E3599" t="s">
        <v>2244</v>
      </c>
      <c r="F3599" t="s">
        <v>13</v>
      </c>
      <c r="G3599" s="20">
        <v>1</v>
      </c>
      <c r="H3599" t="s">
        <v>3403</v>
      </c>
      <c r="I3599" t="s">
        <v>4357</v>
      </c>
      <c r="J3599" s="9"/>
      <c r="K3599" s="9"/>
      <c r="L3599" s="9"/>
    </row>
    <row r="3600" spans="2:12" ht="15" x14ac:dyDescent="0.25">
      <c r="B3600" t="s">
        <v>3400</v>
      </c>
      <c r="C3600" t="s">
        <v>3401</v>
      </c>
      <c r="D3600" t="str">
        <f>HYPERLINK("https://rhld.insurance.arkansas.gov/NPILookup?Npi=1093766925","1093766925")</f>
        <v>1093766925</v>
      </c>
      <c r="E3600" t="s">
        <v>2245</v>
      </c>
      <c r="F3600" t="s">
        <v>13</v>
      </c>
      <c r="G3600" s="20">
        <v>1</v>
      </c>
      <c r="H3600" t="s">
        <v>3403</v>
      </c>
      <c r="I3600" t="s">
        <v>4357</v>
      </c>
      <c r="J3600" s="9"/>
      <c r="K3600" s="9"/>
      <c r="L3600" s="9"/>
    </row>
    <row r="3601" spans="2:12" ht="15" x14ac:dyDescent="0.25">
      <c r="B3601" t="s">
        <v>3400</v>
      </c>
      <c r="C3601" t="s">
        <v>3401</v>
      </c>
      <c r="D3601" t="str">
        <f>HYPERLINK("https://rhld.insurance.arkansas.gov/NPILookup?Npi=1093806671","1093806671")</f>
        <v>1093806671</v>
      </c>
      <c r="E3601" t="s">
        <v>2246</v>
      </c>
      <c r="F3601" t="s">
        <v>13</v>
      </c>
      <c r="G3601" s="20">
        <v>1</v>
      </c>
      <c r="H3601" t="s">
        <v>3403</v>
      </c>
      <c r="I3601" t="s">
        <v>4357</v>
      </c>
      <c r="J3601" s="9"/>
      <c r="K3601" s="9"/>
      <c r="L3601" s="9"/>
    </row>
    <row r="3602" spans="2:12" ht="15" x14ac:dyDescent="0.25">
      <c r="B3602" t="s">
        <v>3400</v>
      </c>
      <c r="C3602" t="s">
        <v>3401</v>
      </c>
      <c r="D3602" t="str">
        <f>HYPERLINK("https://rhld.insurance.arkansas.gov/NPILookup?Npi=1093875635","1093875635")</f>
        <v>1093875635</v>
      </c>
      <c r="E3602" t="s">
        <v>3476</v>
      </c>
      <c r="F3602" t="s">
        <v>12</v>
      </c>
      <c r="G3602" s="20">
        <v>1</v>
      </c>
      <c r="H3602" t="s">
        <v>4338</v>
      </c>
      <c r="I3602" t="s">
        <v>32</v>
      </c>
      <c r="J3602" s="9"/>
      <c r="K3602" s="9"/>
      <c r="L3602" s="9"/>
    </row>
    <row r="3603" spans="2:12" ht="15" x14ac:dyDescent="0.25">
      <c r="B3603" t="s">
        <v>3400</v>
      </c>
      <c r="C3603" t="s">
        <v>3401</v>
      </c>
      <c r="D3603" t="str">
        <f>HYPERLINK("https://rhld.insurance.arkansas.gov/NPILookup?Npi=1093916256","1093916256")</f>
        <v>1093916256</v>
      </c>
      <c r="E3603" t="s">
        <v>3477</v>
      </c>
      <c r="F3603" t="s">
        <v>13</v>
      </c>
      <c r="G3603" s="20">
        <v>1</v>
      </c>
      <c r="H3603" t="s">
        <v>3403</v>
      </c>
      <c r="I3603" t="s">
        <v>32</v>
      </c>
      <c r="J3603" s="9"/>
      <c r="K3603" s="9"/>
      <c r="L3603" s="9"/>
    </row>
    <row r="3604" spans="2:12" ht="15" x14ac:dyDescent="0.25">
      <c r="B3604" t="s">
        <v>3400</v>
      </c>
      <c r="C3604" t="s">
        <v>3401</v>
      </c>
      <c r="D3604" t="str">
        <f>HYPERLINK("https://rhld.insurance.arkansas.gov/NPILookup?Npi=1093948796","1093948796")</f>
        <v>1093948796</v>
      </c>
      <c r="E3604" t="s">
        <v>3478</v>
      </c>
      <c r="F3604" t="s">
        <v>13</v>
      </c>
      <c r="G3604" s="20">
        <v>1</v>
      </c>
      <c r="H3604" t="s">
        <v>3403</v>
      </c>
      <c r="I3604" t="s">
        <v>32</v>
      </c>
      <c r="J3604" s="9"/>
      <c r="K3604" s="9"/>
      <c r="L3604" s="9"/>
    </row>
    <row r="3605" spans="2:12" ht="15" x14ac:dyDescent="0.25">
      <c r="B3605" t="s">
        <v>3400</v>
      </c>
      <c r="C3605" t="s">
        <v>3401</v>
      </c>
      <c r="D3605" t="str">
        <f>HYPERLINK("https://rhld.insurance.arkansas.gov/NPILookup?Npi=1104306588","1104306588")</f>
        <v>1104306588</v>
      </c>
      <c r="E3605" t="s">
        <v>2054</v>
      </c>
      <c r="F3605" t="s">
        <v>13</v>
      </c>
      <c r="G3605" s="20">
        <v>1</v>
      </c>
      <c r="H3605" t="s">
        <v>4357</v>
      </c>
      <c r="I3605" t="s">
        <v>4357</v>
      </c>
      <c r="J3605" s="9"/>
      <c r="K3605" s="9"/>
      <c r="L3605" s="9"/>
    </row>
    <row r="3606" spans="2:12" ht="15" x14ac:dyDescent="0.25">
      <c r="B3606" t="s">
        <v>3400</v>
      </c>
      <c r="C3606" t="s">
        <v>3401</v>
      </c>
      <c r="D3606" t="str">
        <f>HYPERLINK("https://rhld.insurance.arkansas.gov/NPILookup?Npi=1104342799","1104342799")</f>
        <v>1104342799</v>
      </c>
      <c r="E3606" t="s">
        <v>3479</v>
      </c>
      <c r="F3606" t="s">
        <v>13</v>
      </c>
      <c r="G3606" s="20">
        <v>1</v>
      </c>
      <c r="H3606" t="s">
        <v>3403</v>
      </c>
      <c r="I3606" t="s">
        <v>32</v>
      </c>
      <c r="J3606" s="9"/>
      <c r="K3606" s="9"/>
      <c r="L3606" s="9"/>
    </row>
    <row r="3607" spans="2:12" ht="15" x14ac:dyDescent="0.25">
      <c r="B3607" t="s">
        <v>3400</v>
      </c>
      <c r="C3607" t="s">
        <v>3401</v>
      </c>
      <c r="D3607" t="str">
        <f>HYPERLINK("https://rhld.insurance.arkansas.gov/NPILookup?Npi=1104385632","1104385632")</f>
        <v>1104385632</v>
      </c>
      <c r="E3607" t="s">
        <v>2055</v>
      </c>
      <c r="F3607" t="s">
        <v>13</v>
      </c>
      <c r="G3607" s="20">
        <v>1</v>
      </c>
      <c r="H3607" t="s">
        <v>4357</v>
      </c>
      <c r="I3607" t="s">
        <v>4357</v>
      </c>
      <c r="J3607" s="9"/>
      <c r="K3607" s="9"/>
      <c r="L3607" s="9"/>
    </row>
    <row r="3608" spans="2:12" ht="15" x14ac:dyDescent="0.25">
      <c r="B3608" t="s">
        <v>3400</v>
      </c>
      <c r="C3608" t="s">
        <v>3401</v>
      </c>
      <c r="D3608" t="str">
        <f>HYPERLINK("https://rhld.insurance.arkansas.gov/NPILookup?Npi=1104405422","1104405422")</f>
        <v>1104405422</v>
      </c>
      <c r="E3608" t="s">
        <v>3480</v>
      </c>
      <c r="F3608" t="s">
        <v>13</v>
      </c>
      <c r="G3608" s="20">
        <v>1</v>
      </c>
      <c r="H3608" t="s">
        <v>3403</v>
      </c>
      <c r="I3608" t="s">
        <v>4357</v>
      </c>
      <c r="J3608" s="9"/>
      <c r="K3608" s="9"/>
      <c r="L3608" s="9"/>
    </row>
    <row r="3609" spans="2:12" ht="15" x14ac:dyDescent="0.25">
      <c r="B3609" t="s">
        <v>3400</v>
      </c>
      <c r="C3609" t="s">
        <v>3401</v>
      </c>
      <c r="D3609" t="str">
        <f>HYPERLINK("https://rhld.insurance.arkansas.gov/NPILookup?Npi=1104433341","1104433341")</f>
        <v>1104433341</v>
      </c>
      <c r="E3609" t="s">
        <v>2255</v>
      </c>
      <c r="F3609" t="s">
        <v>13</v>
      </c>
      <c r="G3609" s="20">
        <v>1</v>
      </c>
      <c r="H3609" t="s">
        <v>4357</v>
      </c>
      <c r="I3609" t="s">
        <v>4357</v>
      </c>
      <c r="J3609" s="9"/>
      <c r="K3609" s="9"/>
      <c r="L3609" s="9"/>
    </row>
    <row r="3610" spans="2:12" ht="15" x14ac:dyDescent="0.25">
      <c r="B3610" t="s">
        <v>3400</v>
      </c>
      <c r="C3610" t="s">
        <v>3401</v>
      </c>
      <c r="D3610" t="str">
        <f>HYPERLINK("https://rhld.insurance.arkansas.gov/NPILookup?Npi=1104468610","1104468610")</f>
        <v>1104468610</v>
      </c>
      <c r="E3610" t="s">
        <v>3481</v>
      </c>
      <c r="F3610" t="s">
        <v>13</v>
      </c>
      <c r="G3610" s="20">
        <v>1</v>
      </c>
      <c r="H3610" t="s">
        <v>3403</v>
      </c>
      <c r="I3610" t="s">
        <v>4357</v>
      </c>
      <c r="J3610" s="9"/>
      <c r="K3610" s="9"/>
      <c r="L3610" s="9"/>
    </row>
    <row r="3611" spans="2:12" ht="15" x14ac:dyDescent="0.25">
      <c r="B3611" t="s">
        <v>3400</v>
      </c>
      <c r="C3611" t="s">
        <v>3401</v>
      </c>
      <c r="D3611" t="str">
        <f>HYPERLINK("https://rhld.insurance.arkansas.gov/NPILookup?Npi=1104507300","1104507300")</f>
        <v>1104507300</v>
      </c>
      <c r="E3611" t="s">
        <v>2258</v>
      </c>
      <c r="F3611" t="s">
        <v>13</v>
      </c>
      <c r="G3611" s="20">
        <v>1</v>
      </c>
      <c r="H3611" t="s">
        <v>4357</v>
      </c>
      <c r="I3611" t="s">
        <v>4357</v>
      </c>
      <c r="J3611" s="9"/>
      <c r="K3611" s="9"/>
      <c r="L3611" s="9"/>
    </row>
    <row r="3612" spans="2:12" ht="15" x14ac:dyDescent="0.25">
      <c r="B3612" t="s">
        <v>3400</v>
      </c>
      <c r="C3612" t="s">
        <v>3401</v>
      </c>
      <c r="D3612" t="str">
        <f>HYPERLINK("https://rhld.insurance.arkansas.gov/NPILookup?Npi=1104531110","1104531110")</f>
        <v>1104531110</v>
      </c>
      <c r="E3612" t="s">
        <v>3482</v>
      </c>
      <c r="F3612" t="s">
        <v>13</v>
      </c>
      <c r="G3612" s="20">
        <v>1</v>
      </c>
      <c r="H3612" t="s">
        <v>3403</v>
      </c>
      <c r="I3612" t="s">
        <v>4357</v>
      </c>
      <c r="J3612" s="9"/>
      <c r="K3612" s="9"/>
      <c r="L3612" s="9"/>
    </row>
    <row r="3613" spans="2:12" ht="15" x14ac:dyDescent="0.25">
      <c r="B3613" t="s">
        <v>3400</v>
      </c>
      <c r="C3613" t="s">
        <v>3401</v>
      </c>
      <c r="D3613" t="str">
        <f>HYPERLINK("https://rhld.insurance.arkansas.gov/NPILookup?Npi=1104539162","1104539162")</f>
        <v>1104539162</v>
      </c>
      <c r="E3613" t="s">
        <v>3483</v>
      </c>
      <c r="F3613" t="s">
        <v>13</v>
      </c>
      <c r="G3613" s="20">
        <v>1</v>
      </c>
      <c r="H3613" t="s">
        <v>3403</v>
      </c>
      <c r="I3613" t="s">
        <v>4357</v>
      </c>
      <c r="J3613" s="9"/>
      <c r="K3613" s="9"/>
      <c r="L3613" s="9"/>
    </row>
    <row r="3614" spans="2:12" ht="15" x14ac:dyDescent="0.25">
      <c r="B3614" t="s">
        <v>3400</v>
      </c>
      <c r="C3614" t="s">
        <v>3401</v>
      </c>
      <c r="D3614" t="str">
        <f>HYPERLINK("https://rhld.insurance.arkansas.gov/NPILookup?Npi=1104574334","1104574334")</f>
        <v>1104574334</v>
      </c>
      <c r="E3614" t="s">
        <v>3484</v>
      </c>
      <c r="F3614" t="s">
        <v>13</v>
      </c>
      <c r="G3614" s="20">
        <v>1</v>
      </c>
      <c r="H3614" t="s">
        <v>3403</v>
      </c>
      <c r="I3614" t="s">
        <v>4357</v>
      </c>
      <c r="J3614" s="9"/>
      <c r="K3614" s="9"/>
      <c r="L3614" s="9"/>
    </row>
    <row r="3615" spans="2:12" ht="15" x14ac:dyDescent="0.25">
      <c r="B3615" t="s">
        <v>3400</v>
      </c>
      <c r="C3615" t="s">
        <v>3401</v>
      </c>
      <c r="D3615" t="str">
        <f>HYPERLINK("https://rhld.insurance.arkansas.gov/NPILookup?Npi=1104627066","1104627066")</f>
        <v>1104627066</v>
      </c>
      <c r="E3615" t="s">
        <v>2259</v>
      </c>
      <c r="F3615" t="s">
        <v>13</v>
      </c>
      <c r="G3615" s="20">
        <v>1</v>
      </c>
      <c r="H3615" t="s">
        <v>4357</v>
      </c>
      <c r="I3615" t="s">
        <v>4357</v>
      </c>
      <c r="J3615" s="9"/>
      <c r="K3615" s="9"/>
      <c r="L3615" s="9"/>
    </row>
    <row r="3616" spans="2:12" ht="15" x14ac:dyDescent="0.25">
      <c r="B3616" t="s">
        <v>3400</v>
      </c>
      <c r="C3616" t="s">
        <v>3401</v>
      </c>
      <c r="D3616" t="str">
        <f>HYPERLINK("https://rhld.insurance.arkansas.gov/NPILookup?Npi=1104696186","1104696186")</f>
        <v>1104696186</v>
      </c>
      <c r="E3616" t="s">
        <v>2056</v>
      </c>
      <c r="F3616" t="s">
        <v>13</v>
      </c>
      <c r="G3616" s="20">
        <v>1</v>
      </c>
      <c r="H3616" t="s">
        <v>4357</v>
      </c>
      <c r="I3616" t="s">
        <v>4357</v>
      </c>
      <c r="J3616" s="9"/>
      <c r="K3616" s="9"/>
      <c r="L3616" s="9"/>
    </row>
    <row r="3617" spans="2:12" ht="15" x14ac:dyDescent="0.25">
      <c r="B3617" t="s">
        <v>3400</v>
      </c>
      <c r="C3617" t="s">
        <v>3401</v>
      </c>
      <c r="D3617" t="str">
        <f>HYPERLINK("https://rhld.insurance.arkansas.gov/NPILookup?Npi=1104823020","1104823020")</f>
        <v>1104823020</v>
      </c>
      <c r="E3617" t="s">
        <v>3485</v>
      </c>
      <c r="F3617" t="s">
        <v>13</v>
      </c>
      <c r="G3617" s="20">
        <v>1</v>
      </c>
      <c r="H3617" t="s">
        <v>3403</v>
      </c>
      <c r="I3617" t="s">
        <v>4357</v>
      </c>
      <c r="J3617" s="9"/>
      <c r="K3617" s="9"/>
      <c r="L3617" s="9"/>
    </row>
    <row r="3618" spans="2:12" ht="15" x14ac:dyDescent="0.25">
      <c r="B3618" t="s">
        <v>3400</v>
      </c>
      <c r="C3618" t="s">
        <v>3401</v>
      </c>
      <c r="D3618" t="str">
        <f>HYPERLINK("https://rhld.insurance.arkansas.gov/NPILookup?Npi=1104826320","1104826320")</f>
        <v>1104826320</v>
      </c>
      <c r="E3618" t="s">
        <v>3486</v>
      </c>
      <c r="F3618" t="s">
        <v>13</v>
      </c>
      <c r="G3618" s="20">
        <v>1</v>
      </c>
      <c r="H3618" t="s">
        <v>3403</v>
      </c>
      <c r="I3618" t="s">
        <v>32</v>
      </c>
      <c r="J3618" s="9"/>
      <c r="K3618" s="9"/>
      <c r="L3618" s="9"/>
    </row>
    <row r="3619" spans="2:12" ht="15" x14ac:dyDescent="0.25">
      <c r="B3619" t="s">
        <v>3400</v>
      </c>
      <c r="C3619" t="s">
        <v>3401</v>
      </c>
      <c r="D3619" t="str">
        <f>HYPERLINK("https://rhld.insurance.arkansas.gov/NPILookup?Npi=1104851641","1104851641")</f>
        <v>1104851641</v>
      </c>
      <c r="E3619" t="s">
        <v>3487</v>
      </c>
      <c r="F3619" t="s">
        <v>13</v>
      </c>
      <c r="G3619" s="20">
        <v>1</v>
      </c>
      <c r="H3619" t="s">
        <v>3403</v>
      </c>
      <c r="I3619" t="s">
        <v>32</v>
      </c>
      <c r="J3619" s="9"/>
      <c r="K3619" s="9"/>
      <c r="L3619" s="9"/>
    </row>
    <row r="3620" spans="2:12" ht="15" x14ac:dyDescent="0.25">
      <c r="B3620" t="s">
        <v>3400</v>
      </c>
      <c r="C3620" t="s">
        <v>3401</v>
      </c>
      <c r="D3620" t="str">
        <f>HYPERLINK("https://rhld.insurance.arkansas.gov/NPILookup?Npi=1104861616","1104861616")</f>
        <v>1104861616</v>
      </c>
      <c r="E3620" t="s">
        <v>2261</v>
      </c>
      <c r="F3620" t="s">
        <v>13</v>
      </c>
      <c r="G3620" s="20">
        <v>1</v>
      </c>
      <c r="H3620" t="s">
        <v>3403</v>
      </c>
      <c r="I3620" t="s">
        <v>4357</v>
      </c>
      <c r="J3620" s="9"/>
      <c r="K3620" s="9"/>
      <c r="L3620" s="9"/>
    </row>
    <row r="3621" spans="2:12" ht="15" x14ac:dyDescent="0.25">
      <c r="B3621" t="s">
        <v>3400</v>
      </c>
      <c r="C3621" t="s">
        <v>3401</v>
      </c>
      <c r="D3621" t="str">
        <f>HYPERLINK("https://rhld.insurance.arkansas.gov/NPILookup?Npi=1104872969","1104872969")</f>
        <v>1104872969</v>
      </c>
      <c r="E3621" t="s">
        <v>3488</v>
      </c>
      <c r="F3621" t="s">
        <v>13</v>
      </c>
      <c r="G3621" s="20">
        <v>1</v>
      </c>
      <c r="H3621" t="s">
        <v>3403</v>
      </c>
      <c r="I3621" t="s">
        <v>32</v>
      </c>
      <c r="J3621" s="9"/>
      <c r="K3621" s="9"/>
      <c r="L3621" s="9"/>
    </row>
    <row r="3622" spans="2:12" ht="15" x14ac:dyDescent="0.25">
      <c r="B3622" t="s">
        <v>3400</v>
      </c>
      <c r="C3622" t="s">
        <v>3401</v>
      </c>
      <c r="D3622" t="str">
        <f>HYPERLINK("https://rhld.insurance.arkansas.gov/NPILookup?Npi=1114017779","1114017779")</f>
        <v>1114017779</v>
      </c>
      <c r="E3622" t="s">
        <v>3489</v>
      </c>
      <c r="F3622" t="s">
        <v>12</v>
      </c>
      <c r="G3622" s="20">
        <v>1</v>
      </c>
      <c r="H3622" t="s">
        <v>4338</v>
      </c>
      <c r="I3622" t="s">
        <v>32</v>
      </c>
      <c r="J3622" s="9"/>
      <c r="K3622" s="9"/>
      <c r="L3622" s="9"/>
    </row>
    <row r="3623" spans="2:12" ht="15" x14ac:dyDescent="0.25">
      <c r="B3623" t="s">
        <v>3400</v>
      </c>
      <c r="C3623" t="s">
        <v>3401</v>
      </c>
      <c r="D3623" t="str">
        <f>HYPERLINK("https://rhld.insurance.arkansas.gov/NPILookup?Npi=1114131083","1114131083")</f>
        <v>1114131083</v>
      </c>
      <c r="E3623" t="s">
        <v>3490</v>
      </c>
      <c r="F3623" t="s">
        <v>12</v>
      </c>
      <c r="G3623" s="20">
        <v>1</v>
      </c>
      <c r="H3623" t="s">
        <v>4338</v>
      </c>
      <c r="I3623" t="s">
        <v>32</v>
      </c>
      <c r="J3623" s="9"/>
      <c r="K3623" s="9"/>
      <c r="L3623" s="9"/>
    </row>
    <row r="3624" spans="2:12" ht="15" x14ac:dyDescent="0.25">
      <c r="B3624" t="s">
        <v>3400</v>
      </c>
      <c r="C3624" t="s">
        <v>3401</v>
      </c>
      <c r="D3624" t="str">
        <f>HYPERLINK("https://rhld.insurance.arkansas.gov/NPILookup?Npi=1114227469","1114227469")</f>
        <v>1114227469</v>
      </c>
      <c r="E3624" t="s">
        <v>79</v>
      </c>
      <c r="F3624" t="s">
        <v>13</v>
      </c>
      <c r="G3624" s="20">
        <v>1</v>
      </c>
      <c r="H3624" t="s">
        <v>87</v>
      </c>
      <c r="I3624" t="s">
        <v>4357</v>
      </c>
      <c r="J3624" s="9"/>
      <c r="K3624" s="9"/>
      <c r="L3624" s="9"/>
    </row>
    <row r="3625" spans="2:12" ht="15" x14ac:dyDescent="0.25">
      <c r="B3625" t="s">
        <v>3400</v>
      </c>
      <c r="C3625" t="s">
        <v>3401</v>
      </c>
      <c r="D3625" t="str">
        <f>HYPERLINK("https://rhld.insurance.arkansas.gov/NPILookup?Npi=1114283652","1114283652")</f>
        <v>1114283652</v>
      </c>
      <c r="E3625" t="s">
        <v>429</v>
      </c>
      <c r="F3625" t="s">
        <v>12</v>
      </c>
      <c r="G3625" s="20">
        <v>1</v>
      </c>
      <c r="H3625" t="s">
        <v>4338</v>
      </c>
      <c r="I3625" t="s">
        <v>32</v>
      </c>
      <c r="J3625" s="9"/>
      <c r="K3625" s="9"/>
      <c r="L3625" s="9"/>
    </row>
    <row r="3626" spans="2:12" ht="15" x14ac:dyDescent="0.25">
      <c r="B3626" t="s">
        <v>3400</v>
      </c>
      <c r="C3626" t="s">
        <v>3401</v>
      </c>
      <c r="D3626" t="str">
        <f>HYPERLINK("https://rhld.insurance.arkansas.gov/NPILookup?Npi=1114300092","1114300092")</f>
        <v>1114300092</v>
      </c>
      <c r="E3626" t="s">
        <v>3491</v>
      </c>
      <c r="F3626" t="s">
        <v>13</v>
      </c>
      <c r="G3626" s="20">
        <v>1</v>
      </c>
      <c r="H3626" t="s">
        <v>3403</v>
      </c>
      <c r="I3626" t="s">
        <v>32</v>
      </c>
      <c r="J3626" s="9"/>
      <c r="K3626" s="9"/>
      <c r="L3626" s="9"/>
    </row>
    <row r="3627" spans="2:12" ht="15" x14ac:dyDescent="0.25">
      <c r="B3627" t="s">
        <v>3400</v>
      </c>
      <c r="C3627" t="s">
        <v>3401</v>
      </c>
      <c r="D3627" t="str">
        <f>HYPERLINK("https://rhld.insurance.arkansas.gov/NPILookup?Npi=1114310711","1114310711")</f>
        <v>1114310711</v>
      </c>
      <c r="E3627" t="s">
        <v>2264</v>
      </c>
      <c r="F3627" t="s">
        <v>13</v>
      </c>
      <c r="G3627" s="20">
        <v>1</v>
      </c>
      <c r="H3627" t="s">
        <v>4357</v>
      </c>
      <c r="I3627" t="s">
        <v>4357</v>
      </c>
      <c r="J3627" s="9"/>
      <c r="K3627" s="9"/>
      <c r="L3627" s="9"/>
    </row>
    <row r="3628" spans="2:12" ht="15" x14ac:dyDescent="0.25">
      <c r="B3628" t="s">
        <v>3400</v>
      </c>
      <c r="C3628" t="s">
        <v>3401</v>
      </c>
      <c r="D3628" t="str">
        <f>HYPERLINK("https://rhld.insurance.arkansas.gov/NPILookup?Npi=1114656881","1114656881")</f>
        <v>1114656881</v>
      </c>
      <c r="E3628" t="s">
        <v>3492</v>
      </c>
      <c r="F3628" t="s">
        <v>13</v>
      </c>
      <c r="G3628" s="20">
        <v>1</v>
      </c>
      <c r="H3628" t="s">
        <v>3403</v>
      </c>
      <c r="I3628" t="s">
        <v>4357</v>
      </c>
      <c r="J3628" s="9"/>
      <c r="K3628" s="9"/>
      <c r="L3628" s="9"/>
    </row>
    <row r="3629" spans="2:12" ht="15" x14ac:dyDescent="0.25">
      <c r="B3629" t="s">
        <v>3400</v>
      </c>
      <c r="C3629" t="s">
        <v>3401</v>
      </c>
      <c r="D3629" t="str">
        <f>HYPERLINK("https://rhld.insurance.arkansas.gov/NPILookup?Npi=1114697612","1114697612")</f>
        <v>1114697612</v>
      </c>
      <c r="E3629" t="s">
        <v>3493</v>
      </c>
      <c r="F3629" t="s">
        <v>13</v>
      </c>
      <c r="G3629" s="20">
        <v>1</v>
      </c>
      <c r="H3629" t="s">
        <v>3403</v>
      </c>
      <c r="I3629" t="s">
        <v>4357</v>
      </c>
      <c r="J3629" s="9"/>
      <c r="K3629" s="9"/>
      <c r="L3629" s="9"/>
    </row>
    <row r="3630" spans="2:12" ht="15" x14ac:dyDescent="0.25">
      <c r="B3630" t="s">
        <v>3400</v>
      </c>
      <c r="C3630" t="s">
        <v>3401</v>
      </c>
      <c r="D3630" t="str">
        <f>HYPERLINK("https://rhld.insurance.arkansas.gov/NPILookup?Npi=1114747680","1114747680")</f>
        <v>1114747680</v>
      </c>
      <c r="E3630" t="s">
        <v>2271</v>
      </c>
      <c r="F3630" t="s">
        <v>13</v>
      </c>
      <c r="G3630" s="20">
        <v>1</v>
      </c>
      <c r="H3630" t="s">
        <v>4357</v>
      </c>
      <c r="I3630" t="s">
        <v>4357</v>
      </c>
      <c r="J3630" s="9"/>
      <c r="K3630" s="9"/>
      <c r="L3630" s="9"/>
    </row>
    <row r="3631" spans="2:12" ht="15" x14ac:dyDescent="0.25">
      <c r="B3631" t="s">
        <v>3400</v>
      </c>
      <c r="C3631" t="s">
        <v>3401</v>
      </c>
      <c r="D3631" t="str">
        <f>HYPERLINK("https://rhld.insurance.arkansas.gov/NPILookup?Npi=1114920972","1114920972")</f>
        <v>1114920972</v>
      </c>
      <c r="E3631" t="s">
        <v>3494</v>
      </c>
      <c r="F3631" t="s">
        <v>13</v>
      </c>
      <c r="G3631" s="20">
        <v>1</v>
      </c>
      <c r="H3631" t="s">
        <v>3403</v>
      </c>
      <c r="I3631" t="s">
        <v>4357</v>
      </c>
      <c r="J3631" s="9"/>
      <c r="K3631" s="9"/>
      <c r="L3631" s="9"/>
    </row>
    <row r="3632" spans="2:12" ht="15" x14ac:dyDescent="0.25">
      <c r="B3632" t="s">
        <v>3400</v>
      </c>
      <c r="C3632" t="s">
        <v>3401</v>
      </c>
      <c r="D3632" t="str">
        <f>HYPERLINK("https://rhld.insurance.arkansas.gov/NPILookup?Npi=1124029624","1124029624")</f>
        <v>1124029624</v>
      </c>
      <c r="E3632" t="s">
        <v>3495</v>
      </c>
      <c r="F3632" t="s">
        <v>13</v>
      </c>
      <c r="G3632" s="20">
        <v>1</v>
      </c>
      <c r="H3632" t="s">
        <v>3403</v>
      </c>
      <c r="I3632" t="s">
        <v>32</v>
      </c>
      <c r="J3632" s="9"/>
      <c r="K3632" s="9"/>
      <c r="L3632" s="9"/>
    </row>
    <row r="3633" spans="2:12" ht="15" x14ac:dyDescent="0.25">
      <c r="B3633" t="s">
        <v>3400</v>
      </c>
      <c r="C3633" t="s">
        <v>3401</v>
      </c>
      <c r="D3633" t="str">
        <f>HYPERLINK("https://rhld.insurance.arkansas.gov/NPILookup?Npi=1124076922","1124076922")</f>
        <v>1124076922</v>
      </c>
      <c r="E3633" t="s">
        <v>3496</v>
      </c>
      <c r="F3633" t="s">
        <v>13</v>
      </c>
      <c r="G3633" s="20">
        <v>1</v>
      </c>
      <c r="H3633" t="s">
        <v>3403</v>
      </c>
      <c r="I3633" t="s">
        <v>32</v>
      </c>
      <c r="J3633" s="9"/>
      <c r="K3633" s="9"/>
      <c r="L3633" s="9"/>
    </row>
    <row r="3634" spans="2:12" ht="15" x14ac:dyDescent="0.25">
      <c r="B3634" t="s">
        <v>3400</v>
      </c>
      <c r="C3634" t="s">
        <v>3401</v>
      </c>
      <c r="D3634" t="str">
        <f>HYPERLINK("https://rhld.insurance.arkansas.gov/NPILookup?Npi=1124098603","1124098603")</f>
        <v>1124098603</v>
      </c>
      <c r="E3634" t="s">
        <v>3497</v>
      </c>
      <c r="F3634" t="s">
        <v>13</v>
      </c>
      <c r="G3634" s="20">
        <v>1</v>
      </c>
      <c r="H3634" t="s">
        <v>3403</v>
      </c>
      <c r="I3634" t="s">
        <v>4357</v>
      </c>
      <c r="J3634" s="9"/>
      <c r="K3634" s="9"/>
      <c r="L3634" s="9"/>
    </row>
    <row r="3635" spans="2:12" ht="15" x14ac:dyDescent="0.25">
      <c r="B3635" t="s">
        <v>3400</v>
      </c>
      <c r="C3635" t="s">
        <v>3401</v>
      </c>
      <c r="D3635" t="str">
        <f>HYPERLINK("https://rhld.insurance.arkansas.gov/NPILookup?Npi=1124127634","1124127634")</f>
        <v>1124127634</v>
      </c>
      <c r="E3635" t="s">
        <v>3498</v>
      </c>
      <c r="F3635" t="s">
        <v>13</v>
      </c>
      <c r="G3635" s="20">
        <v>1</v>
      </c>
      <c r="H3635" t="s">
        <v>3403</v>
      </c>
      <c r="I3635" t="s">
        <v>32</v>
      </c>
      <c r="J3635" s="9"/>
      <c r="K3635" s="9"/>
      <c r="L3635" s="9"/>
    </row>
    <row r="3636" spans="2:12" ht="15" x14ac:dyDescent="0.25">
      <c r="B3636" t="s">
        <v>3400</v>
      </c>
      <c r="C3636" t="s">
        <v>3401</v>
      </c>
      <c r="D3636" t="str">
        <f>HYPERLINK("https://rhld.insurance.arkansas.gov/NPILookup?Npi=1124192695","1124192695")</f>
        <v>1124192695</v>
      </c>
      <c r="E3636" t="s">
        <v>3499</v>
      </c>
      <c r="F3636" t="s">
        <v>13</v>
      </c>
      <c r="G3636" s="20">
        <v>1</v>
      </c>
      <c r="H3636" t="s">
        <v>3403</v>
      </c>
      <c r="I3636" t="s">
        <v>32</v>
      </c>
      <c r="J3636" s="9"/>
      <c r="K3636" s="9"/>
      <c r="L3636" s="9"/>
    </row>
    <row r="3637" spans="2:12" ht="15" x14ac:dyDescent="0.25">
      <c r="B3637" t="s">
        <v>3400</v>
      </c>
      <c r="C3637" t="s">
        <v>3401</v>
      </c>
      <c r="D3637" t="str">
        <f>HYPERLINK("https://rhld.insurance.arkansas.gov/NPILookup?Npi=1124342530","1124342530")</f>
        <v>1124342530</v>
      </c>
      <c r="E3637" t="s">
        <v>2276</v>
      </c>
      <c r="F3637" t="s">
        <v>13</v>
      </c>
      <c r="G3637" s="20">
        <v>1</v>
      </c>
      <c r="H3637" t="s">
        <v>4357</v>
      </c>
      <c r="I3637" t="s">
        <v>4357</v>
      </c>
      <c r="J3637" s="9"/>
      <c r="K3637" s="9"/>
      <c r="L3637" s="9"/>
    </row>
    <row r="3638" spans="2:12" ht="15" x14ac:dyDescent="0.25">
      <c r="B3638" t="s">
        <v>3400</v>
      </c>
      <c r="C3638" t="s">
        <v>3401</v>
      </c>
      <c r="D3638" t="str">
        <f>HYPERLINK("https://rhld.insurance.arkansas.gov/NPILookup?Npi=1124418769","1124418769")</f>
        <v>1124418769</v>
      </c>
      <c r="E3638" t="s">
        <v>2490</v>
      </c>
      <c r="F3638" t="s">
        <v>13</v>
      </c>
      <c r="G3638" s="20">
        <v>1</v>
      </c>
      <c r="H3638" t="s">
        <v>3403</v>
      </c>
      <c r="I3638" t="s">
        <v>32</v>
      </c>
      <c r="J3638" s="9"/>
      <c r="K3638" s="9"/>
      <c r="L3638" s="9"/>
    </row>
    <row r="3639" spans="2:12" ht="15" x14ac:dyDescent="0.25">
      <c r="B3639" t="s">
        <v>3400</v>
      </c>
      <c r="C3639" t="s">
        <v>3401</v>
      </c>
      <c r="D3639" t="str">
        <f>HYPERLINK("https://rhld.insurance.arkansas.gov/NPILookup?Npi=1124437330","1124437330")</f>
        <v>1124437330</v>
      </c>
      <c r="E3639" t="s">
        <v>2278</v>
      </c>
      <c r="F3639" t="s">
        <v>13</v>
      </c>
      <c r="G3639" s="20">
        <v>1</v>
      </c>
      <c r="H3639" t="s">
        <v>3403</v>
      </c>
      <c r="I3639" t="s">
        <v>4357</v>
      </c>
      <c r="J3639" s="9"/>
      <c r="K3639" s="9"/>
      <c r="L3639" s="9"/>
    </row>
    <row r="3640" spans="2:12" ht="15" x14ac:dyDescent="0.25">
      <c r="B3640" t="s">
        <v>3400</v>
      </c>
      <c r="C3640" t="s">
        <v>3401</v>
      </c>
      <c r="D3640" t="str">
        <f>HYPERLINK("https://rhld.insurance.arkansas.gov/NPILookup?Npi=1124461140","1124461140")</f>
        <v>1124461140</v>
      </c>
      <c r="E3640" t="s">
        <v>3500</v>
      </c>
      <c r="F3640" t="s">
        <v>13</v>
      </c>
      <c r="G3640" s="20">
        <v>1</v>
      </c>
      <c r="H3640" t="s">
        <v>3403</v>
      </c>
      <c r="I3640" t="s">
        <v>4357</v>
      </c>
      <c r="J3640" s="9"/>
      <c r="K3640" s="9"/>
      <c r="L3640" s="9"/>
    </row>
    <row r="3641" spans="2:12" ht="15" x14ac:dyDescent="0.25">
      <c r="B3641" t="s">
        <v>3400</v>
      </c>
      <c r="C3641" t="s">
        <v>3401</v>
      </c>
      <c r="D3641" t="str">
        <f>HYPERLINK("https://rhld.insurance.arkansas.gov/NPILookup?Npi=1124567607","1124567607")</f>
        <v>1124567607</v>
      </c>
      <c r="E3641" t="s">
        <v>2280</v>
      </c>
      <c r="F3641" t="s">
        <v>13</v>
      </c>
      <c r="G3641" s="20">
        <v>1</v>
      </c>
      <c r="H3641" t="s">
        <v>4357</v>
      </c>
      <c r="I3641" t="s">
        <v>4357</v>
      </c>
      <c r="J3641" s="9"/>
      <c r="K3641" s="9"/>
      <c r="L3641" s="9"/>
    </row>
    <row r="3642" spans="2:12" ht="15" x14ac:dyDescent="0.25">
      <c r="B3642" t="s">
        <v>3400</v>
      </c>
      <c r="C3642" t="s">
        <v>3401</v>
      </c>
      <c r="D3642" t="str">
        <f>HYPERLINK("https://rhld.insurance.arkansas.gov/NPILookup?Npi=1124611439","1124611439")</f>
        <v>1124611439</v>
      </c>
      <c r="E3642" t="s">
        <v>1565</v>
      </c>
      <c r="F3642" t="s">
        <v>13</v>
      </c>
      <c r="G3642" s="20">
        <v>1</v>
      </c>
      <c r="H3642" t="s">
        <v>3403</v>
      </c>
      <c r="I3642" t="s">
        <v>32</v>
      </c>
      <c r="J3642" s="9"/>
      <c r="K3642" s="9"/>
      <c r="L3642" s="9"/>
    </row>
    <row r="3643" spans="2:12" ht="15" x14ac:dyDescent="0.25">
      <c r="B3643" t="s">
        <v>3400</v>
      </c>
      <c r="C3643" t="s">
        <v>3401</v>
      </c>
      <c r="D3643" t="str">
        <f>HYPERLINK("https://rhld.insurance.arkansas.gov/NPILookup?Npi=1124632310","1124632310")</f>
        <v>1124632310</v>
      </c>
      <c r="E3643" t="s">
        <v>2282</v>
      </c>
      <c r="F3643" t="s">
        <v>13</v>
      </c>
      <c r="G3643" s="20">
        <v>1</v>
      </c>
      <c r="H3643" t="s">
        <v>4357</v>
      </c>
      <c r="I3643" t="s">
        <v>4357</v>
      </c>
      <c r="J3643" s="9"/>
      <c r="K3643" s="9"/>
      <c r="L3643" s="9"/>
    </row>
    <row r="3644" spans="2:12" ht="15" x14ac:dyDescent="0.25">
      <c r="B3644" t="s">
        <v>3400</v>
      </c>
      <c r="C3644" t="s">
        <v>3401</v>
      </c>
      <c r="D3644" t="str">
        <f>HYPERLINK("https://rhld.insurance.arkansas.gov/NPILookup?Npi=1124741715","1124741715")</f>
        <v>1124741715</v>
      </c>
      <c r="E3644" t="s">
        <v>3501</v>
      </c>
      <c r="F3644" t="s">
        <v>13</v>
      </c>
      <c r="G3644" s="20">
        <v>1</v>
      </c>
      <c r="H3644" t="s">
        <v>3403</v>
      </c>
      <c r="I3644" t="s">
        <v>4357</v>
      </c>
      <c r="J3644" s="9"/>
      <c r="K3644" s="9"/>
      <c r="L3644" s="9"/>
    </row>
    <row r="3645" spans="2:12" ht="15" x14ac:dyDescent="0.25">
      <c r="B3645" t="s">
        <v>3400</v>
      </c>
      <c r="C3645" t="s">
        <v>3401</v>
      </c>
      <c r="D3645" t="str">
        <f>HYPERLINK("https://rhld.insurance.arkansas.gov/NPILookup?Npi=1124746102","1124746102")</f>
        <v>1124746102</v>
      </c>
      <c r="E3645" t="s">
        <v>2283</v>
      </c>
      <c r="F3645" t="s">
        <v>13</v>
      </c>
      <c r="G3645" s="20">
        <v>1</v>
      </c>
      <c r="H3645" t="s">
        <v>4357</v>
      </c>
      <c r="I3645" t="s">
        <v>32</v>
      </c>
      <c r="J3645" s="9"/>
      <c r="K3645" s="9"/>
      <c r="L3645" s="9"/>
    </row>
    <row r="3646" spans="2:12" ht="15" x14ac:dyDescent="0.25">
      <c r="B3646" t="s">
        <v>3400</v>
      </c>
      <c r="C3646" t="s">
        <v>3401</v>
      </c>
      <c r="D3646" t="str">
        <f>HYPERLINK("https://rhld.insurance.arkansas.gov/NPILookup?Npi=1134126600","1134126600")</f>
        <v>1134126600</v>
      </c>
      <c r="E3646" t="s">
        <v>3502</v>
      </c>
      <c r="F3646" t="s">
        <v>13</v>
      </c>
      <c r="G3646" s="20">
        <v>1</v>
      </c>
      <c r="H3646" t="s">
        <v>3403</v>
      </c>
      <c r="I3646" t="s">
        <v>32</v>
      </c>
      <c r="J3646" s="9"/>
      <c r="K3646" s="9"/>
      <c r="L3646" s="9"/>
    </row>
    <row r="3647" spans="2:12" ht="15" x14ac:dyDescent="0.25">
      <c r="B3647" t="s">
        <v>3400</v>
      </c>
      <c r="C3647" t="s">
        <v>3401</v>
      </c>
      <c r="D3647" t="str">
        <f>HYPERLINK("https://rhld.insurance.arkansas.gov/NPILookup?Npi=1134188063","1134188063")</f>
        <v>1134188063</v>
      </c>
      <c r="E3647" t="s">
        <v>3503</v>
      </c>
      <c r="F3647" t="s">
        <v>13</v>
      </c>
      <c r="G3647" s="20">
        <v>1</v>
      </c>
      <c r="H3647" t="s">
        <v>3403</v>
      </c>
      <c r="I3647" t="s">
        <v>32</v>
      </c>
      <c r="J3647" s="9"/>
      <c r="K3647" s="9"/>
      <c r="L3647" s="9"/>
    </row>
    <row r="3648" spans="2:12" ht="15" x14ac:dyDescent="0.25">
      <c r="B3648" t="s">
        <v>3400</v>
      </c>
      <c r="C3648" t="s">
        <v>3401</v>
      </c>
      <c r="D3648" t="str">
        <f>HYPERLINK("https://rhld.insurance.arkansas.gov/NPILookup?Npi=1134316250","1134316250")</f>
        <v>1134316250</v>
      </c>
      <c r="E3648" t="s">
        <v>3504</v>
      </c>
      <c r="F3648" t="s">
        <v>13</v>
      </c>
      <c r="G3648" s="20">
        <v>1</v>
      </c>
      <c r="H3648" t="s">
        <v>3403</v>
      </c>
      <c r="I3648" t="s">
        <v>32</v>
      </c>
      <c r="J3648" s="9"/>
      <c r="K3648" s="9"/>
      <c r="L3648" s="9"/>
    </row>
    <row r="3649" spans="2:12" ht="15" x14ac:dyDescent="0.25">
      <c r="B3649" t="s">
        <v>3400</v>
      </c>
      <c r="C3649" t="s">
        <v>3401</v>
      </c>
      <c r="D3649" t="str">
        <f>HYPERLINK("https://rhld.insurance.arkansas.gov/NPILookup?Npi=1134469935","1134469935")</f>
        <v>1134469935</v>
      </c>
      <c r="E3649" t="s">
        <v>3505</v>
      </c>
      <c r="F3649" t="s">
        <v>12</v>
      </c>
      <c r="G3649" s="20">
        <v>1</v>
      </c>
      <c r="H3649" t="s">
        <v>4338</v>
      </c>
      <c r="I3649" t="s">
        <v>4357</v>
      </c>
      <c r="J3649" s="9"/>
      <c r="K3649" s="9"/>
      <c r="L3649" s="9"/>
    </row>
    <row r="3650" spans="2:12" ht="15" x14ac:dyDescent="0.25">
      <c r="B3650" t="s">
        <v>3400</v>
      </c>
      <c r="C3650" t="s">
        <v>3401</v>
      </c>
      <c r="D3650" t="str">
        <f>HYPERLINK("https://rhld.insurance.arkansas.gov/NPILookup?Npi=1134516578","1134516578")</f>
        <v>1134516578</v>
      </c>
      <c r="E3650" t="s">
        <v>3506</v>
      </c>
      <c r="F3650" t="s">
        <v>13</v>
      </c>
      <c r="G3650" s="20">
        <v>1</v>
      </c>
      <c r="H3650" t="s">
        <v>3403</v>
      </c>
      <c r="I3650" t="s">
        <v>4357</v>
      </c>
      <c r="J3650" s="9"/>
      <c r="K3650" s="9"/>
      <c r="L3650" s="9"/>
    </row>
    <row r="3651" spans="2:12" ht="15" x14ac:dyDescent="0.25">
      <c r="B3651" t="s">
        <v>3400</v>
      </c>
      <c r="C3651" t="s">
        <v>3401</v>
      </c>
      <c r="D3651" t="str">
        <f>HYPERLINK("https://rhld.insurance.arkansas.gov/NPILookup?Npi=1134643190","1134643190")</f>
        <v>1134643190</v>
      </c>
      <c r="E3651" t="s">
        <v>3507</v>
      </c>
      <c r="F3651" t="s">
        <v>13</v>
      </c>
      <c r="G3651" s="20">
        <v>1</v>
      </c>
      <c r="H3651" t="s">
        <v>3403</v>
      </c>
      <c r="I3651" t="s">
        <v>32</v>
      </c>
      <c r="J3651" s="9"/>
      <c r="K3651" s="9"/>
      <c r="L3651" s="9"/>
    </row>
    <row r="3652" spans="2:12" ht="15" x14ac:dyDescent="0.25">
      <c r="B3652" t="s">
        <v>3400</v>
      </c>
      <c r="C3652" t="s">
        <v>3401</v>
      </c>
      <c r="D3652" t="str">
        <f>HYPERLINK("https://rhld.insurance.arkansas.gov/NPILookup?Npi=1134730005","1134730005")</f>
        <v>1134730005</v>
      </c>
      <c r="E3652" t="s">
        <v>3508</v>
      </c>
      <c r="F3652" t="s">
        <v>13</v>
      </c>
      <c r="G3652" s="20">
        <v>1</v>
      </c>
      <c r="H3652" t="s">
        <v>3403</v>
      </c>
      <c r="I3652" t="s">
        <v>32</v>
      </c>
      <c r="J3652" s="9"/>
      <c r="K3652" s="9"/>
      <c r="L3652" s="9"/>
    </row>
    <row r="3653" spans="2:12" ht="15" x14ac:dyDescent="0.25">
      <c r="B3653" t="s">
        <v>3400</v>
      </c>
      <c r="C3653" t="s">
        <v>3401</v>
      </c>
      <c r="D3653" t="str">
        <f>HYPERLINK("https://rhld.insurance.arkansas.gov/NPILookup?Npi=1134730450","1134730450")</f>
        <v>1134730450</v>
      </c>
      <c r="E3653" t="s">
        <v>3509</v>
      </c>
      <c r="F3653" t="s">
        <v>13</v>
      </c>
      <c r="G3653" s="20">
        <v>1</v>
      </c>
      <c r="H3653" t="s">
        <v>3403</v>
      </c>
      <c r="I3653" t="s">
        <v>32</v>
      </c>
      <c r="J3653" s="9"/>
      <c r="K3653" s="9"/>
      <c r="L3653" s="9"/>
    </row>
    <row r="3654" spans="2:12" ht="15" x14ac:dyDescent="0.25">
      <c r="B3654" t="s">
        <v>3400</v>
      </c>
      <c r="C3654" t="s">
        <v>3401</v>
      </c>
      <c r="D3654" t="str">
        <f>HYPERLINK("https://rhld.insurance.arkansas.gov/NPILookup?Npi=1134785769","1134785769")</f>
        <v>1134785769</v>
      </c>
      <c r="E3654" t="s">
        <v>3510</v>
      </c>
      <c r="F3654" t="s">
        <v>13</v>
      </c>
      <c r="G3654" s="20">
        <v>1</v>
      </c>
      <c r="H3654" t="s">
        <v>3403</v>
      </c>
      <c r="I3654" t="s">
        <v>4357</v>
      </c>
      <c r="J3654" s="9"/>
      <c r="K3654" s="9"/>
      <c r="L3654" s="9"/>
    </row>
    <row r="3655" spans="2:12" ht="15" x14ac:dyDescent="0.25">
      <c r="B3655" t="s">
        <v>3400</v>
      </c>
      <c r="C3655" t="s">
        <v>3401</v>
      </c>
      <c r="D3655" t="str">
        <f>HYPERLINK("https://rhld.insurance.arkansas.gov/NPILookup?Npi=1134907637","1134907637")</f>
        <v>1134907637</v>
      </c>
      <c r="E3655" t="s">
        <v>2288</v>
      </c>
      <c r="F3655" t="s">
        <v>13</v>
      </c>
      <c r="G3655" s="20">
        <v>1</v>
      </c>
      <c r="H3655" t="s">
        <v>4357</v>
      </c>
      <c r="I3655" t="s">
        <v>4357</v>
      </c>
      <c r="J3655" s="9"/>
      <c r="K3655" s="9"/>
      <c r="L3655" s="9"/>
    </row>
    <row r="3656" spans="2:12" ht="15" x14ac:dyDescent="0.25">
      <c r="B3656" t="s">
        <v>3400</v>
      </c>
      <c r="C3656" t="s">
        <v>3401</v>
      </c>
      <c r="D3656" t="str">
        <f>HYPERLINK("https://rhld.insurance.arkansas.gov/NPILookup?Npi=1134994155","1134994155")</f>
        <v>1134994155</v>
      </c>
      <c r="E3656" t="s">
        <v>3511</v>
      </c>
      <c r="F3656" t="s">
        <v>13</v>
      </c>
      <c r="G3656" s="20">
        <v>1</v>
      </c>
      <c r="H3656" t="s">
        <v>3403</v>
      </c>
      <c r="I3656" t="s">
        <v>32</v>
      </c>
      <c r="J3656" s="9"/>
      <c r="K3656" s="9"/>
      <c r="L3656" s="9"/>
    </row>
    <row r="3657" spans="2:12" ht="15" x14ac:dyDescent="0.25">
      <c r="B3657" t="s">
        <v>3400</v>
      </c>
      <c r="C3657" t="s">
        <v>3401</v>
      </c>
      <c r="D3657" t="str">
        <f>HYPERLINK("https://rhld.insurance.arkansas.gov/NPILookup?Npi=1144056110","1144056110")</f>
        <v>1144056110</v>
      </c>
      <c r="E3657" t="s">
        <v>3512</v>
      </c>
      <c r="F3657" t="s">
        <v>13</v>
      </c>
      <c r="G3657" s="20">
        <v>1</v>
      </c>
      <c r="H3657" t="s">
        <v>3403</v>
      </c>
      <c r="I3657" t="s">
        <v>4357</v>
      </c>
      <c r="J3657" s="9"/>
      <c r="K3657" s="9"/>
      <c r="L3657" s="9"/>
    </row>
    <row r="3658" spans="2:12" ht="15" x14ac:dyDescent="0.25">
      <c r="B3658" t="s">
        <v>3400</v>
      </c>
      <c r="C3658" t="s">
        <v>3401</v>
      </c>
      <c r="D3658" t="str">
        <f>HYPERLINK("https://rhld.insurance.arkansas.gov/NPILookup?Npi=1144263781","1144263781")</f>
        <v>1144263781</v>
      </c>
      <c r="E3658" t="s">
        <v>3513</v>
      </c>
      <c r="F3658" t="s">
        <v>13</v>
      </c>
      <c r="G3658" s="20">
        <v>1</v>
      </c>
      <c r="H3658" t="s">
        <v>4357</v>
      </c>
      <c r="I3658" t="s">
        <v>4357</v>
      </c>
      <c r="J3658" s="9"/>
      <c r="K3658" s="9"/>
      <c r="L3658" s="9"/>
    </row>
    <row r="3659" spans="2:12" ht="15" x14ac:dyDescent="0.25">
      <c r="B3659" t="s">
        <v>3400</v>
      </c>
      <c r="C3659" t="s">
        <v>3401</v>
      </c>
      <c r="D3659" t="str">
        <f>HYPERLINK("https://rhld.insurance.arkansas.gov/NPILookup?Npi=1144294299","1144294299")</f>
        <v>1144294299</v>
      </c>
      <c r="E3659" t="s">
        <v>3514</v>
      </c>
      <c r="F3659" t="s">
        <v>13</v>
      </c>
      <c r="G3659" s="20">
        <v>1</v>
      </c>
      <c r="H3659" t="s">
        <v>3403</v>
      </c>
      <c r="I3659" t="s">
        <v>32</v>
      </c>
      <c r="J3659" s="9"/>
      <c r="K3659" s="9"/>
      <c r="L3659" s="9"/>
    </row>
    <row r="3660" spans="2:12" ht="15" x14ac:dyDescent="0.25">
      <c r="B3660" t="s">
        <v>3400</v>
      </c>
      <c r="C3660" t="s">
        <v>3401</v>
      </c>
      <c r="D3660" t="str">
        <f>HYPERLINK("https://rhld.insurance.arkansas.gov/NPILookup?Npi=1144294646","1144294646")</f>
        <v>1144294646</v>
      </c>
      <c r="E3660" t="s">
        <v>3515</v>
      </c>
      <c r="F3660" t="s">
        <v>13</v>
      </c>
      <c r="G3660" s="20">
        <v>1</v>
      </c>
      <c r="H3660" t="s">
        <v>3403</v>
      </c>
      <c r="I3660" t="s">
        <v>32</v>
      </c>
      <c r="J3660" s="9"/>
      <c r="K3660" s="9"/>
      <c r="L3660" s="9"/>
    </row>
    <row r="3661" spans="2:12" ht="15" x14ac:dyDescent="0.25">
      <c r="B3661" t="s">
        <v>3400</v>
      </c>
      <c r="C3661" t="s">
        <v>3401</v>
      </c>
      <c r="D3661" t="str">
        <f>HYPERLINK("https://rhld.insurance.arkansas.gov/NPILookup?Npi=1144294992","1144294992")</f>
        <v>1144294992</v>
      </c>
      <c r="E3661" t="s">
        <v>3516</v>
      </c>
      <c r="F3661" t="s">
        <v>13</v>
      </c>
      <c r="G3661" s="20">
        <v>1</v>
      </c>
      <c r="H3661" t="s">
        <v>3403</v>
      </c>
      <c r="I3661" t="s">
        <v>32</v>
      </c>
      <c r="J3661" s="9"/>
      <c r="K3661" s="9"/>
      <c r="L3661" s="9"/>
    </row>
    <row r="3662" spans="2:12" ht="15" x14ac:dyDescent="0.25">
      <c r="B3662" t="s">
        <v>3400</v>
      </c>
      <c r="C3662" t="s">
        <v>3401</v>
      </c>
      <c r="D3662" t="str">
        <f>HYPERLINK("https://rhld.insurance.arkansas.gov/NPILookup?Npi=1144516964","1144516964")</f>
        <v>1144516964</v>
      </c>
      <c r="E3662" t="s">
        <v>2291</v>
      </c>
      <c r="F3662" t="s">
        <v>13</v>
      </c>
      <c r="G3662" s="20">
        <v>1</v>
      </c>
      <c r="H3662" t="s">
        <v>3403</v>
      </c>
      <c r="I3662" t="s">
        <v>4357</v>
      </c>
      <c r="J3662" s="9"/>
      <c r="K3662" s="9"/>
      <c r="L3662" s="9"/>
    </row>
    <row r="3663" spans="2:12" ht="15" x14ac:dyDescent="0.25">
      <c r="B3663" t="s">
        <v>3400</v>
      </c>
      <c r="C3663" t="s">
        <v>3401</v>
      </c>
      <c r="D3663" t="str">
        <f>HYPERLINK("https://rhld.insurance.arkansas.gov/NPILookup?Npi=1144517129","1144517129")</f>
        <v>1144517129</v>
      </c>
      <c r="E3663" t="s">
        <v>3517</v>
      </c>
      <c r="F3663" t="s">
        <v>13</v>
      </c>
      <c r="G3663" s="20">
        <v>1</v>
      </c>
      <c r="H3663" t="s">
        <v>3403</v>
      </c>
      <c r="I3663" t="s">
        <v>32</v>
      </c>
      <c r="J3663" s="9"/>
      <c r="K3663" s="9"/>
      <c r="L3663" s="9"/>
    </row>
    <row r="3664" spans="2:12" ht="15" x14ac:dyDescent="0.25">
      <c r="B3664" t="s">
        <v>3400</v>
      </c>
      <c r="C3664" t="s">
        <v>3401</v>
      </c>
      <c r="D3664" t="str">
        <f>HYPERLINK("https://rhld.insurance.arkansas.gov/NPILookup?Npi=1144735424","1144735424")</f>
        <v>1144735424</v>
      </c>
      <c r="E3664" t="s">
        <v>3518</v>
      </c>
      <c r="F3664" t="s">
        <v>13</v>
      </c>
      <c r="G3664" s="20">
        <v>1</v>
      </c>
      <c r="H3664" t="s">
        <v>3403</v>
      </c>
      <c r="I3664" t="s">
        <v>32</v>
      </c>
      <c r="J3664" s="9"/>
      <c r="K3664" s="9"/>
      <c r="L3664" s="9"/>
    </row>
    <row r="3665" spans="2:12" ht="15" x14ac:dyDescent="0.25">
      <c r="B3665" t="s">
        <v>3400</v>
      </c>
      <c r="C3665" t="s">
        <v>3401</v>
      </c>
      <c r="D3665" t="str">
        <f>HYPERLINK("https://rhld.insurance.arkansas.gov/NPILookup?Npi=1144738725","1144738725")</f>
        <v>1144738725</v>
      </c>
      <c r="E3665" t="s">
        <v>2294</v>
      </c>
      <c r="F3665" t="s">
        <v>13</v>
      </c>
      <c r="G3665" s="20">
        <v>1</v>
      </c>
      <c r="H3665" t="s">
        <v>3403</v>
      </c>
      <c r="I3665" t="s">
        <v>32</v>
      </c>
      <c r="J3665" s="9"/>
      <c r="K3665" s="9"/>
      <c r="L3665" s="9"/>
    </row>
    <row r="3666" spans="2:12" ht="15" x14ac:dyDescent="0.25">
      <c r="B3666" t="s">
        <v>3400</v>
      </c>
      <c r="C3666" t="s">
        <v>3401</v>
      </c>
      <c r="D3666" t="str">
        <f>HYPERLINK("https://rhld.insurance.arkansas.gov/NPILookup?Npi=1144901125","1144901125")</f>
        <v>1144901125</v>
      </c>
      <c r="E3666" t="s">
        <v>2297</v>
      </c>
      <c r="F3666" t="s">
        <v>13</v>
      </c>
      <c r="G3666" s="20">
        <v>1</v>
      </c>
      <c r="H3666" t="s">
        <v>4357</v>
      </c>
      <c r="I3666" t="s">
        <v>4357</v>
      </c>
      <c r="J3666" s="9"/>
      <c r="K3666" s="9"/>
      <c r="L3666" s="9"/>
    </row>
    <row r="3667" spans="2:12" ht="15" x14ac:dyDescent="0.25">
      <c r="B3667" t="s">
        <v>3400</v>
      </c>
      <c r="C3667" t="s">
        <v>3401</v>
      </c>
      <c r="D3667" t="str">
        <f>HYPERLINK("https://rhld.insurance.arkansas.gov/NPILookup?Npi=1154158699","1154158699")</f>
        <v>1154158699</v>
      </c>
      <c r="E3667" t="s">
        <v>1576</v>
      </c>
      <c r="F3667" t="s">
        <v>13</v>
      </c>
      <c r="G3667" s="20">
        <v>1</v>
      </c>
      <c r="H3667" t="s">
        <v>4357</v>
      </c>
      <c r="I3667" t="s">
        <v>4357</v>
      </c>
      <c r="J3667" s="9"/>
      <c r="K3667" s="9"/>
      <c r="L3667" s="9"/>
    </row>
    <row r="3668" spans="2:12" ht="15" x14ac:dyDescent="0.25">
      <c r="B3668" t="s">
        <v>3400</v>
      </c>
      <c r="C3668" t="s">
        <v>3401</v>
      </c>
      <c r="D3668" t="str">
        <f>HYPERLINK("https://rhld.insurance.arkansas.gov/NPILookup?Npi=1154177160","1154177160")</f>
        <v>1154177160</v>
      </c>
      <c r="E3668" t="s">
        <v>3519</v>
      </c>
      <c r="F3668" t="s">
        <v>13</v>
      </c>
      <c r="G3668" s="20">
        <v>1</v>
      </c>
      <c r="H3668" t="s">
        <v>3403</v>
      </c>
      <c r="I3668" t="s">
        <v>4357</v>
      </c>
      <c r="J3668" s="9"/>
      <c r="K3668" s="9"/>
      <c r="L3668" s="9"/>
    </row>
    <row r="3669" spans="2:12" ht="15" x14ac:dyDescent="0.25">
      <c r="B3669" t="s">
        <v>3400</v>
      </c>
      <c r="C3669" t="s">
        <v>3401</v>
      </c>
      <c r="D3669" t="str">
        <f>HYPERLINK("https://rhld.insurance.arkansas.gov/NPILookup?Npi=1154327237","1154327237")</f>
        <v>1154327237</v>
      </c>
      <c r="E3669" t="s">
        <v>3520</v>
      </c>
      <c r="F3669" t="s">
        <v>13</v>
      </c>
      <c r="G3669" s="20">
        <v>1</v>
      </c>
      <c r="H3669" t="s">
        <v>3403</v>
      </c>
      <c r="I3669" t="s">
        <v>32</v>
      </c>
      <c r="J3669" s="9"/>
      <c r="K3669" s="9"/>
      <c r="L3669" s="9"/>
    </row>
    <row r="3670" spans="2:12" ht="15" x14ac:dyDescent="0.25">
      <c r="B3670" t="s">
        <v>3400</v>
      </c>
      <c r="C3670" t="s">
        <v>3401</v>
      </c>
      <c r="D3670" t="str">
        <f>HYPERLINK("https://rhld.insurance.arkansas.gov/NPILookup?Npi=1154344810","1154344810")</f>
        <v>1154344810</v>
      </c>
      <c r="E3670" t="s">
        <v>3521</v>
      </c>
      <c r="F3670" t="s">
        <v>13</v>
      </c>
      <c r="G3670" s="20">
        <v>1</v>
      </c>
      <c r="H3670" t="s">
        <v>3403</v>
      </c>
      <c r="I3670" t="s">
        <v>32</v>
      </c>
      <c r="J3670" s="9"/>
      <c r="K3670" s="9"/>
      <c r="L3670" s="9"/>
    </row>
    <row r="3671" spans="2:12" ht="15" x14ac:dyDescent="0.25">
      <c r="B3671" t="s">
        <v>3400</v>
      </c>
      <c r="C3671" t="s">
        <v>3401</v>
      </c>
      <c r="D3671" t="str">
        <f>HYPERLINK("https://rhld.insurance.arkansas.gov/NPILookup?Npi=1154471670","1154471670")</f>
        <v>1154471670</v>
      </c>
      <c r="E3671" t="s">
        <v>3522</v>
      </c>
      <c r="F3671" t="s">
        <v>13</v>
      </c>
      <c r="G3671" s="20">
        <v>1</v>
      </c>
      <c r="H3671" t="s">
        <v>3403</v>
      </c>
      <c r="I3671" t="s">
        <v>32</v>
      </c>
      <c r="J3671" s="9"/>
      <c r="K3671" s="9"/>
      <c r="L3671" s="9"/>
    </row>
    <row r="3672" spans="2:12" ht="15" x14ac:dyDescent="0.25">
      <c r="B3672" t="s">
        <v>3400</v>
      </c>
      <c r="C3672" t="s">
        <v>3401</v>
      </c>
      <c r="D3672" t="str">
        <f>HYPERLINK("https://rhld.insurance.arkansas.gov/NPILookup?Npi=1154659100","1154659100")</f>
        <v>1154659100</v>
      </c>
      <c r="E3672" t="s">
        <v>2304</v>
      </c>
      <c r="F3672" t="s">
        <v>13</v>
      </c>
      <c r="G3672" s="20">
        <v>1</v>
      </c>
      <c r="H3672" t="s">
        <v>3403</v>
      </c>
      <c r="I3672" t="s">
        <v>4357</v>
      </c>
      <c r="J3672" s="9"/>
      <c r="K3672" s="9"/>
      <c r="L3672" s="9"/>
    </row>
    <row r="3673" spans="2:12" ht="15" x14ac:dyDescent="0.25">
      <c r="B3673" t="s">
        <v>3400</v>
      </c>
      <c r="C3673" t="s">
        <v>3401</v>
      </c>
      <c r="D3673" t="str">
        <f>HYPERLINK("https://rhld.insurance.arkansas.gov/NPILookup?Npi=1154687432","1154687432")</f>
        <v>1154687432</v>
      </c>
      <c r="E3673" t="s">
        <v>3523</v>
      </c>
      <c r="F3673" t="s">
        <v>13</v>
      </c>
      <c r="G3673" s="20">
        <v>1</v>
      </c>
      <c r="H3673" t="s">
        <v>4357</v>
      </c>
      <c r="I3673" t="s">
        <v>4357</v>
      </c>
      <c r="J3673" s="9"/>
      <c r="K3673" s="9"/>
      <c r="L3673" s="9"/>
    </row>
    <row r="3674" spans="2:12" ht="15" x14ac:dyDescent="0.25">
      <c r="B3674" t="s">
        <v>3400</v>
      </c>
      <c r="C3674" t="s">
        <v>3401</v>
      </c>
      <c r="D3674" t="str">
        <f>HYPERLINK("https://rhld.insurance.arkansas.gov/NPILookup?Npi=1154696607","1154696607")</f>
        <v>1154696607</v>
      </c>
      <c r="E3674" t="s">
        <v>2305</v>
      </c>
      <c r="F3674" t="s">
        <v>13</v>
      </c>
      <c r="G3674" s="20">
        <v>1</v>
      </c>
      <c r="H3674" t="s">
        <v>3403</v>
      </c>
      <c r="I3674" t="s">
        <v>4357</v>
      </c>
      <c r="J3674" s="9"/>
      <c r="K3674" s="9"/>
      <c r="L3674" s="9"/>
    </row>
    <row r="3675" spans="2:12" ht="15" x14ac:dyDescent="0.25">
      <c r="B3675" t="s">
        <v>3400</v>
      </c>
      <c r="C3675" t="s">
        <v>3401</v>
      </c>
      <c r="D3675" t="str">
        <f>HYPERLINK("https://rhld.insurance.arkansas.gov/NPILookup?Npi=1154738722","1154738722")</f>
        <v>1154738722</v>
      </c>
      <c r="E3675" t="s">
        <v>3524</v>
      </c>
      <c r="F3675" t="s">
        <v>12</v>
      </c>
      <c r="G3675" s="20">
        <v>1</v>
      </c>
      <c r="H3675" t="s">
        <v>4338</v>
      </c>
      <c r="I3675" t="s">
        <v>32</v>
      </c>
      <c r="J3675" s="9"/>
      <c r="K3675" s="9"/>
      <c r="L3675" s="9"/>
    </row>
    <row r="3676" spans="2:12" ht="15" x14ac:dyDescent="0.25">
      <c r="B3676" t="s">
        <v>3400</v>
      </c>
      <c r="C3676" t="s">
        <v>3401</v>
      </c>
      <c r="D3676" t="str">
        <f>HYPERLINK("https://rhld.insurance.arkansas.gov/NPILookup?Npi=1164114096","1164114096")</f>
        <v>1164114096</v>
      </c>
      <c r="E3676" t="s">
        <v>3525</v>
      </c>
      <c r="F3676" t="s">
        <v>13</v>
      </c>
      <c r="G3676" s="20">
        <v>1</v>
      </c>
      <c r="H3676" t="s">
        <v>3403</v>
      </c>
      <c r="I3676" t="s">
        <v>32</v>
      </c>
      <c r="J3676" s="9"/>
      <c r="K3676" s="9"/>
      <c r="L3676" s="9"/>
    </row>
    <row r="3677" spans="2:12" ht="15" x14ac:dyDescent="0.25">
      <c r="B3677" t="s">
        <v>3400</v>
      </c>
      <c r="C3677" t="s">
        <v>3401</v>
      </c>
      <c r="D3677" t="str">
        <f>HYPERLINK("https://rhld.insurance.arkansas.gov/NPILookup?Npi=1164294963","1164294963")</f>
        <v>1164294963</v>
      </c>
      <c r="E3677" t="s">
        <v>2057</v>
      </c>
      <c r="F3677" t="s">
        <v>13</v>
      </c>
      <c r="G3677" s="20">
        <v>1</v>
      </c>
      <c r="H3677" t="s">
        <v>4357</v>
      </c>
      <c r="I3677" t="s">
        <v>4357</v>
      </c>
      <c r="J3677" s="9"/>
      <c r="K3677" s="9"/>
      <c r="L3677" s="9"/>
    </row>
    <row r="3678" spans="2:12" ht="15" x14ac:dyDescent="0.25">
      <c r="B3678" t="s">
        <v>3400</v>
      </c>
      <c r="C3678" t="s">
        <v>3401</v>
      </c>
      <c r="D3678" t="str">
        <f>HYPERLINK("https://rhld.insurance.arkansas.gov/NPILookup?Npi=1164296281","1164296281")</f>
        <v>1164296281</v>
      </c>
      <c r="E3678" t="s">
        <v>3526</v>
      </c>
      <c r="F3678" t="s">
        <v>13</v>
      </c>
      <c r="G3678" s="20">
        <v>1</v>
      </c>
      <c r="H3678" t="s">
        <v>3403</v>
      </c>
      <c r="I3678" t="s">
        <v>32</v>
      </c>
      <c r="J3678" s="9"/>
      <c r="K3678" s="9"/>
      <c r="L3678" s="9"/>
    </row>
    <row r="3679" spans="2:12" ht="15" x14ac:dyDescent="0.25">
      <c r="B3679" t="s">
        <v>3400</v>
      </c>
      <c r="C3679" t="s">
        <v>3401</v>
      </c>
      <c r="D3679" t="str">
        <f>HYPERLINK("https://rhld.insurance.arkansas.gov/NPILookup?Npi=1164418679","1164418679")</f>
        <v>1164418679</v>
      </c>
      <c r="E3679" t="s">
        <v>3527</v>
      </c>
      <c r="F3679" t="s">
        <v>13</v>
      </c>
      <c r="G3679" s="20">
        <v>1</v>
      </c>
      <c r="H3679" t="s">
        <v>3403</v>
      </c>
      <c r="I3679" t="s">
        <v>32</v>
      </c>
      <c r="J3679" s="9"/>
      <c r="K3679" s="9"/>
      <c r="L3679" s="9"/>
    </row>
    <row r="3680" spans="2:12" ht="15" x14ac:dyDescent="0.25">
      <c r="B3680" t="s">
        <v>3400</v>
      </c>
      <c r="C3680" t="s">
        <v>3401</v>
      </c>
      <c r="D3680" t="str">
        <f>HYPERLINK("https://rhld.insurance.arkansas.gov/NPILookup?Npi=1164462602","1164462602")</f>
        <v>1164462602</v>
      </c>
      <c r="E3680" t="s">
        <v>452</v>
      </c>
      <c r="F3680" t="s">
        <v>13</v>
      </c>
      <c r="G3680" s="20">
        <v>1</v>
      </c>
      <c r="H3680" t="s">
        <v>3403</v>
      </c>
      <c r="I3680" t="s">
        <v>4357</v>
      </c>
      <c r="J3680" s="9"/>
      <c r="K3680" s="9"/>
      <c r="L3680" s="9"/>
    </row>
    <row r="3681" spans="2:12" ht="15" x14ac:dyDescent="0.25">
      <c r="B3681" t="s">
        <v>3400</v>
      </c>
      <c r="C3681" t="s">
        <v>3401</v>
      </c>
      <c r="D3681" t="str">
        <f>HYPERLINK("https://rhld.insurance.arkansas.gov/NPILookup?Npi=1164466603","1164466603")</f>
        <v>1164466603</v>
      </c>
      <c r="E3681" t="s">
        <v>3528</v>
      </c>
      <c r="F3681" t="s">
        <v>13</v>
      </c>
      <c r="G3681" s="20">
        <v>1</v>
      </c>
      <c r="H3681" t="s">
        <v>3403</v>
      </c>
      <c r="I3681" t="s">
        <v>32</v>
      </c>
      <c r="J3681" s="9"/>
      <c r="K3681" s="9"/>
      <c r="L3681" s="9"/>
    </row>
    <row r="3682" spans="2:12" ht="15" x14ac:dyDescent="0.25">
      <c r="B3682" t="s">
        <v>3400</v>
      </c>
      <c r="C3682" t="s">
        <v>3401</v>
      </c>
      <c r="D3682" t="str">
        <f>HYPERLINK("https://rhld.insurance.arkansas.gov/NPILookup?Npi=1164482592","1164482592")</f>
        <v>1164482592</v>
      </c>
      <c r="E3682" t="s">
        <v>3529</v>
      </c>
      <c r="F3682" t="s">
        <v>13</v>
      </c>
      <c r="G3682" s="20">
        <v>1</v>
      </c>
      <c r="H3682" t="s">
        <v>3403</v>
      </c>
      <c r="I3682" t="s">
        <v>32</v>
      </c>
      <c r="J3682" s="9"/>
      <c r="K3682" s="9"/>
      <c r="L3682" s="9"/>
    </row>
    <row r="3683" spans="2:12" ht="15" x14ac:dyDescent="0.25">
      <c r="B3683" t="s">
        <v>3400</v>
      </c>
      <c r="C3683" t="s">
        <v>3401</v>
      </c>
      <c r="D3683" t="str">
        <f>HYPERLINK("https://rhld.insurance.arkansas.gov/NPILookup?Npi=1164496105","1164496105")</f>
        <v>1164496105</v>
      </c>
      <c r="E3683" t="s">
        <v>3530</v>
      </c>
      <c r="F3683" t="s">
        <v>13</v>
      </c>
      <c r="G3683" s="20">
        <v>1</v>
      </c>
      <c r="H3683" t="s">
        <v>3403</v>
      </c>
      <c r="I3683" t="s">
        <v>32</v>
      </c>
      <c r="J3683" s="9"/>
      <c r="K3683" s="9"/>
      <c r="L3683" s="9"/>
    </row>
    <row r="3684" spans="2:12" ht="15" x14ac:dyDescent="0.25">
      <c r="B3684" t="s">
        <v>3400</v>
      </c>
      <c r="C3684" t="s">
        <v>3401</v>
      </c>
      <c r="D3684" t="str">
        <f>HYPERLINK("https://rhld.insurance.arkansas.gov/NPILookup?Npi=1164497327","1164497327")</f>
        <v>1164497327</v>
      </c>
      <c r="E3684" t="s">
        <v>3531</v>
      </c>
      <c r="F3684" t="s">
        <v>13</v>
      </c>
      <c r="G3684" s="20">
        <v>1</v>
      </c>
      <c r="H3684" t="s">
        <v>3403</v>
      </c>
      <c r="I3684" t="s">
        <v>32</v>
      </c>
      <c r="J3684" s="9"/>
      <c r="K3684" s="9"/>
      <c r="L3684" s="9"/>
    </row>
    <row r="3685" spans="2:12" ht="15" x14ac:dyDescent="0.25">
      <c r="B3685" t="s">
        <v>3400</v>
      </c>
      <c r="C3685" t="s">
        <v>3401</v>
      </c>
      <c r="D3685" t="str">
        <f>HYPERLINK("https://rhld.insurance.arkansas.gov/NPILookup?Npi=1164748315","1164748315")</f>
        <v>1164748315</v>
      </c>
      <c r="E3685" t="s">
        <v>2321</v>
      </c>
      <c r="F3685" t="s">
        <v>12</v>
      </c>
      <c r="G3685" s="20">
        <v>1</v>
      </c>
      <c r="H3685" t="s">
        <v>4338</v>
      </c>
      <c r="I3685" t="s">
        <v>32</v>
      </c>
      <c r="J3685" s="9"/>
      <c r="K3685" s="9"/>
      <c r="L3685" s="9"/>
    </row>
    <row r="3686" spans="2:12" ht="15" x14ac:dyDescent="0.25">
      <c r="B3686" t="s">
        <v>3400</v>
      </c>
      <c r="C3686" t="s">
        <v>3401</v>
      </c>
      <c r="D3686" t="str">
        <f>HYPERLINK("https://rhld.insurance.arkansas.gov/NPILookup?Npi=1164840112","1164840112")</f>
        <v>1164840112</v>
      </c>
      <c r="E3686" t="s">
        <v>3532</v>
      </c>
      <c r="F3686" t="s">
        <v>12</v>
      </c>
      <c r="G3686" s="20">
        <v>1</v>
      </c>
      <c r="H3686" t="s">
        <v>4338</v>
      </c>
      <c r="I3686" t="s">
        <v>32</v>
      </c>
      <c r="J3686" s="9"/>
      <c r="K3686" s="9"/>
      <c r="L3686" s="9"/>
    </row>
    <row r="3687" spans="2:12" ht="15" x14ac:dyDescent="0.25">
      <c r="B3687" t="s">
        <v>3400</v>
      </c>
      <c r="C3687" t="s">
        <v>3401</v>
      </c>
      <c r="D3687" t="str">
        <f>HYPERLINK("https://rhld.insurance.arkansas.gov/NPILookup?Npi=1164893756","1164893756")</f>
        <v>1164893756</v>
      </c>
      <c r="E3687" t="s">
        <v>2324</v>
      </c>
      <c r="F3687" t="s">
        <v>13</v>
      </c>
      <c r="G3687" s="20">
        <v>1</v>
      </c>
      <c r="H3687" t="s">
        <v>4357</v>
      </c>
      <c r="I3687" t="s">
        <v>4357</v>
      </c>
      <c r="J3687" s="9"/>
      <c r="K3687" s="9"/>
      <c r="L3687" s="9"/>
    </row>
    <row r="3688" spans="2:12" ht="15" x14ac:dyDescent="0.25">
      <c r="B3688" t="s">
        <v>3400</v>
      </c>
      <c r="C3688" t="s">
        <v>3401</v>
      </c>
      <c r="D3688" t="str">
        <f>HYPERLINK("https://rhld.insurance.arkansas.gov/NPILookup?Npi=1164980728","1164980728")</f>
        <v>1164980728</v>
      </c>
      <c r="E3688" t="s">
        <v>2328</v>
      </c>
      <c r="F3688" t="s">
        <v>13</v>
      </c>
      <c r="G3688" s="20">
        <v>1</v>
      </c>
      <c r="H3688" t="s">
        <v>3403</v>
      </c>
      <c r="I3688" t="s">
        <v>32</v>
      </c>
      <c r="J3688" s="9"/>
      <c r="K3688" s="9"/>
      <c r="L3688" s="9"/>
    </row>
    <row r="3689" spans="2:12" ht="15" x14ac:dyDescent="0.25">
      <c r="B3689" t="s">
        <v>3400</v>
      </c>
      <c r="C3689" t="s">
        <v>3401</v>
      </c>
      <c r="D3689" t="str">
        <f>HYPERLINK("https://rhld.insurance.arkansas.gov/NPILookup?Npi=1164991048","1164991048")</f>
        <v>1164991048</v>
      </c>
      <c r="E3689" t="s">
        <v>2058</v>
      </c>
      <c r="F3689" t="s">
        <v>13</v>
      </c>
      <c r="G3689" s="20">
        <v>1</v>
      </c>
      <c r="H3689" t="s">
        <v>4357</v>
      </c>
      <c r="I3689" t="s">
        <v>4357</v>
      </c>
      <c r="J3689" s="9"/>
      <c r="K3689" s="9"/>
      <c r="L3689" s="9"/>
    </row>
    <row r="3690" spans="2:12" ht="15" x14ac:dyDescent="0.25">
      <c r="B3690" t="s">
        <v>3400</v>
      </c>
      <c r="C3690" t="s">
        <v>3401</v>
      </c>
      <c r="D3690" t="str">
        <f>HYPERLINK("https://rhld.insurance.arkansas.gov/NPILookup?Npi=1174137111","1174137111")</f>
        <v>1174137111</v>
      </c>
      <c r="E3690" t="s">
        <v>3533</v>
      </c>
      <c r="F3690" t="s">
        <v>13</v>
      </c>
      <c r="G3690" s="20">
        <v>1</v>
      </c>
      <c r="H3690" t="s">
        <v>3403</v>
      </c>
      <c r="I3690" t="s">
        <v>4357</v>
      </c>
      <c r="J3690" s="9"/>
      <c r="K3690" s="9"/>
      <c r="L3690" s="9"/>
    </row>
    <row r="3691" spans="2:12" ht="15" x14ac:dyDescent="0.25">
      <c r="B3691" t="s">
        <v>3400</v>
      </c>
      <c r="C3691" t="s">
        <v>3401</v>
      </c>
      <c r="D3691" t="str">
        <f>HYPERLINK("https://rhld.insurance.arkansas.gov/NPILookup?Npi=1174139455","1174139455")</f>
        <v>1174139455</v>
      </c>
      <c r="E3691" t="s">
        <v>2331</v>
      </c>
      <c r="F3691" t="s">
        <v>13</v>
      </c>
      <c r="G3691" s="20">
        <v>1</v>
      </c>
      <c r="H3691" t="s">
        <v>3403</v>
      </c>
      <c r="I3691" t="s">
        <v>4357</v>
      </c>
      <c r="J3691" s="9"/>
      <c r="K3691" s="9"/>
      <c r="L3691" s="9"/>
    </row>
    <row r="3692" spans="2:12" ht="15" x14ac:dyDescent="0.25">
      <c r="B3692" t="s">
        <v>3400</v>
      </c>
      <c r="C3692" t="s">
        <v>3401</v>
      </c>
      <c r="D3692" t="str">
        <f>HYPERLINK("https://rhld.insurance.arkansas.gov/NPILookup?Npi=1174160089","1174160089")</f>
        <v>1174160089</v>
      </c>
      <c r="E3692" t="s">
        <v>3534</v>
      </c>
      <c r="F3692" t="s">
        <v>13</v>
      </c>
      <c r="G3692" s="20">
        <v>1</v>
      </c>
      <c r="H3692" t="s">
        <v>3403</v>
      </c>
      <c r="I3692" t="s">
        <v>32</v>
      </c>
      <c r="J3692" s="9"/>
      <c r="K3692" s="9"/>
      <c r="L3692" s="9"/>
    </row>
    <row r="3693" spans="2:12" ht="15" x14ac:dyDescent="0.25">
      <c r="B3693" t="s">
        <v>3400</v>
      </c>
      <c r="C3693" t="s">
        <v>3401</v>
      </c>
      <c r="D3693" t="str">
        <f>HYPERLINK("https://rhld.insurance.arkansas.gov/NPILookup?Npi=1174520688","1174520688")</f>
        <v>1174520688</v>
      </c>
      <c r="E3693" t="s">
        <v>3535</v>
      </c>
      <c r="F3693" t="s">
        <v>13</v>
      </c>
      <c r="G3693" s="20">
        <v>1</v>
      </c>
      <c r="H3693" t="s">
        <v>3403</v>
      </c>
      <c r="I3693" t="s">
        <v>32</v>
      </c>
      <c r="J3693" s="9"/>
      <c r="K3693" s="9"/>
      <c r="L3693" s="9"/>
    </row>
    <row r="3694" spans="2:12" ht="15" x14ac:dyDescent="0.25">
      <c r="B3694" t="s">
        <v>3400</v>
      </c>
      <c r="C3694" t="s">
        <v>3401</v>
      </c>
      <c r="D3694" t="str">
        <f>HYPERLINK("https://rhld.insurance.arkansas.gov/NPILookup?Npi=1174524086","1174524086")</f>
        <v>1174524086</v>
      </c>
      <c r="E3694" t="s">
        <v>2333</v>
      </c>
      <c r="F3694" t="s">
        <v>13</v>
      </c>
      <c r="G3694" s="20">
        <v>1</v>
      </c>
      <c r="H3694" t="s">
        <v>3403</v>
      </c>
      <c r="I3694" t="s">
        <v>32</v>
      </c>
      <c r="J3694" s="9"/>
      <c r="K3694" s="9"/>
      <c r="L3694" s="9"/>
    </row>
    <row r="3695" spans="2:12" ht="15" x14ac:dyDescent="0.25">
      <c r="B3695" t="s">
        <v>3400</v>
      </c>
      <c r="C3695" t="s">
        <v>3401</v>
      </c>
      <c r="D3695" t="str">
        <f>HYPERLINK("https://rhld.insurance.arkansas.gov/NPILookup?Npi=1174593446","1174593446")</f>
        <v>1174593446</v>
      </c>
      <c r="E3695" t="s">
        <v>3536</v>
      </c>
      <c r="F3695" t="s">
        <v>13</v>
      </c>
      <c r="G3695" s="20">
        <v>1</v>
      </c>
      <c r="H3695" t="s">
        <v>3403</v>
      </c>
      <c r="I3695" t="s">
        <v>32</v>
      </c>
      <c r="J3695" s="9"/>
      <c r="K3695" s="9"/>
      <c r="L3695" s="9"/>
    </row>
    <row r="3696" spans="2:12" ht="15" x14ac:dyDescent="0.25">
      <c r="B3696" t="s">
        <v>3400</v>
      </c>
      <c r="C3696" t="s">
        <v>3401</v>
      </c>
      <c r="D3696" t="str">
        <f>HYPERLINK("https://rhld.insurance.arkansas.gov/NPILookup?Npi=1174836209","1174836209")</f>
        <v>1174836209</v>
      </c>
      <c r="E3696" t="s">
        <v>3537</v>
      </c>
      <c r="F3696" t="s">
        <v>12</v>
      </c>
      <c r="G3696" s="20">
        <v>1</v>
      </c>
      <c r="H3696" t="s">
        <v>4338</v>
      </c>
      <c r="I3696" t="s">
        <v>4357</v>
      </c>
      <c r="J3696" s="9"/>
      <c r="K3696" s="9"/>
      <c r="L3696" s="9"/>
    </row>
    <row r="3697" spans="2:12" ht="15" x14ac:dyDescent="0.25">
      <c r="B3697" t="s">
        <v>3400</v>
      </c>
      <c r="C3697" t="s">
        <v>3401</v>
      </c>
      <c r="D3697" t="str">
        <f>HYPERLINK("https://rhld.insurance.arkansas.gov/NPILookup?Npi=1174971550","1174971550")</f>
        <v>1174971550</v>
      </c>
      <c r="E3697" t="s">
        <v>3538</v>
      </c>
      <c r="F3697" t="s">
        <v>13</v>
      </c>
      <c r="G3697" s="20">
        <v>1</v>
      </c>
      <c r="H3697" t="s">
        <v>87</v>
      </c>
      <c r="I3697" t="s">
        <v>4357</v>
      </c>
      <c r="J3697" s="9"/>
      <c r="K3697" s="9"/>
      <c r="L3697" s="9"/>
    </row>
    <row r="3698" spans="2:12" ht="15" x14ac:dyDescent="0.25">
      <c r="B3698" t="s">
        <v>3400</v>
      </c>
      <c r="C3698" t="s">
        <v>3401</v>
      </c>
      <c r="D3698" t="str">
        <f>HYPERLINK("https://rhld.insurance.arkansas.gov/NPILookup?Npi=1184010340","1184010340")</f>
        <v>1184010340</v>
      </c>
      <c r="E3698" t="s">
        <v>3539</v>
      </c>
      <c r="F3698" t="s">
        <v>13</v>
      </c>
      <c r="G3698" s="20">
        <v>1</v>
      </c>
      <c r="H3698" t="s">
        <v>3403</v>
      </c>
      <c r="I3698" t="s">
        <v>32</v>
      </c>
      <c r="J3698" s="9"/>
      <c r="K3698" s="9"/>
      <c r="L3698" s="9"/>
    </row>
    <row r="3699" spans="2:12" ht="15" x14ac:dyDescent="0.25">
      <c r="B3699" t="s">
        <v>3400</v>
      </c>
      <c r="C3699" t="s">
        <v>3401</v>
      </c>
      <c r="D3699" t="str">
        <f>HYPERLINK("https://rhld.insurance.arkansas.gov/NPILookup?Npi=1184091407","1184091407")</f>
        <v>1184091407</v>
      </c>
      <c r="E3699" t="s">
        <v>3540</v>
      </c>
      <c r="F3699" t="s">
        <v>13</v>
      </c>
      <c r="G3699" s="20">
        <v>1</v>
      </c>
      <c r="H3699" t="s">
        <v>3403</v>
      </c>
      <c r="I3699" t="s">
        <v>4357</v>
      </c>
      <c r="J3699" s="9"/>
      <c r="K3699" s="9"/>
      <c r="L3699" s="9"/>
    </row>
    <row r="3700" spans="2:12" ht="15" x14ac:dyDescent="0.25">
      <c r="B3700" t="s">
        <v>3400</v>
      </c>
      <c r="C3700" t="s">
        <v>3401</v>
      </c>
      <c r="D3700" t="str">
        <f>HYPERLINK("https://rhld.insurance.arkansas.gov/NPILookup?Npi=1184123002","1184123002")</f>
        <v>1184123002</v>
      </c>
      <c r="E3700" t="s">
        <v>2948</v>
      </c>
      <c r="F3700" t="s">
        <v>13</v>
      </c>
      <c r="G3700" s="20">
        <v>1</v>
      </c>
      <c r="H3700" t="s">
        <v>3403</v>
      </c>
      <c r="I3700" t="s">
        <v>32</v>
      </c>
      <c r="J3700" s="9"/>
      <c r="K3700" s="9"/>
      <c r="L3700" s="9"/>
    </row>
    <row r="3701" spans="2:12" ht="15" x14ac:dyDescent="0.25">
      <c r="B3701" t="s">
        <v>3400</v>
      </c>
      <c r="C3701" t="s">
        <v>3401</v>
      </c>
      <c r="D3701" t="str">
        <f>HYPERLINK("https://rhld.insurance.arkansas.gov/NPILookup?Npi=1184254765","1184254765")</f>
        <v>1184254765</v>
      </c>
      <c r="E3701" t="s">
        <v>2059</v>
      </c>
      <c r="F3701" t="s">
        <v>13</v>
      </c>
      <c r="G3701" s="20">
        <v>1</v>
      </c>
      <c r="H3701" t="s">
        <v>4357</v>
      </c>
      <c r="I3701" t="s">
        <v>4357</v>
      </c>
      <c r="J3701" s="9"/>
      <c r="K3701" s="9"/>
      <c r="L3701" s="9"/>
    </row>
    <row r="3702" spans="2:12" ht="15" x14ac:dyDescent="0.25">
      <c r="B3702" t="s">
        <v>3400</v>
      </c>
      <c r="C3702" t="s">
        <v>3401</v>
      </c>
      <c r="D3702" t="str">
        <f>HYPERLINK("https://rhld.insurance.arkansas.gov/NPILookup?Npi=1184275133","1184275133")</f>
        <v>1184275133</v>
      </c>
      <c r="E3702" t="s">
        <v>2344</v>
      </c>
      <c r="F3702" t="s">
        <v>13</v>
      </c>
      <c r="G3702" s="20">
        <v>1</v>
      </c>
      <c r="H3702" t="s">
        <v>3403</v>
      </c>
      <c r="I3702" t="s">
        <v>4357</v>
      </c>
      <c r="J3702" s="9"/>
      <c r="K3702" s="9"/>
      <c r="L3702" s="9"/>
    </row>
    <row r="3703" spans="2:12" ht="15" x14ac:dyDescent="0.25">
      <c r="B3703" t="s">
        <v>3400</v>
      </c>
      <c r="C3703" t="s">
        <v>3401</v>
      </c>
      <c r="D3703" t="str">
        <f>HYPERLINK("https://rhld.insurance.arkansas.gov/NPILookup?Npi=1184279739","1184279739")</f>
        <v>1184279739</v>
      </c>
      <c r="E3703" t="s">
        <v>2345</v>
      </c>
      <c r="F3703" t="s">
        <v>13</v>
      </c>
      <c r="G3703" s="20">
        <v>1</v>
      </c>
      <c r="H3703" t="s">
        <v>4357</v>
      </c>
      <c r="I3703" t="s">
        <v>4357</v>
      </c>
      <c r="J3703" s="9"/>
      <c r="K3703" s="9"/>
      <c r="L3703" s="9"/>
    </row>
    <row r="3704" spans="2:12" ht="15" x14ac:dyDescent="0.25">
      <c r="B3704" t="s">
        <v>3400</v>
      </c>
      <c r="C3704" t="s">
        <v>3401</v>
      </c>
      <c r="D3704" t="str">
        <f>HYPERLINK("https://rhld.insurance.arkansas.gov/NPILookup?Npi=1184324113","1184324113")</f>
        <v>1184324113</v>
      </c>
      <c r="E3704" t="s">
        <v>3541</v>
      </c>
      <c r="F3704" t="s">
        <v>13</v>
      </c>
      <c r="G3704" s="20">
        <v>1</v>
      </c>
      <c r="H3704" t="s">
        <v>3403</v>
      </c>
      <c r="I3704" t="s">
        <v>32</v>
      </c>
      <c r="J3704" s="9"/>
      <c r="K3704" s="9"/>
      <c r="L3704" s="9"/>
    </row>
    <row r="3705" spans="2:12" ht="15" x14ac:dyDescent="0.25">
      <c r="B3705" t="s">
        <v>3400</v>
      </c>
      <c r="C3705" t="s">
        <v>3401</v>
      </c>
      <c r="D3705" t="str">
        <f>HYPERLINK("https://rhld.insurance.arkansas.gov/NPILookup?Npi=1184629206","1184629206")</f>
        <v>1184629206</v>
      </c>
      <c r="E3705" t="s">
        <v>2347</v>
      </c>
      <c r="F3705" t="s">
        <v>13</v>
      </c>
      <c r="G3705" s="20">
        <v>1</v>
      </c>
      <c r="H3705" t="s">
        <v>3403</v>
      </c>
      <c r="I3705" t="s">
        <v>4357</v>
      </c>
      <c r="J3705" s="9"/>
      <c r="K3705" s="9"/>
      <c r="L3705" s="9"/>
    </row>
    <row r="3706" spans="2:12" ht="15" x14ac:dyDescent="0.25">
      <c r="B3706" t="s">
        <v>3400</v>
      </c>
      <c r="C3706" t="s">
        <v>3401</v>
      </c>
      <c r="D3706" t="str">
        <f>HYPERLINK("https://rhld.insurance.arkansas.gov/NPILookup?Npi=1184682866","1184682866")</f>
        <v>1184682866</v>
      </c>
      <c r="E3706" t="s">
        <v>2348</v>
      </c>
      <c r="F3706" t="s">
        <v>13</v>
      </c>
      <c r="G3706" s="20">
        <v>1</v>
      </c>
      <c r="H3706" t="s">
        <v>3403</v>
      </c>
      <c r="I3706" t="s">
        <v>4357</v>
      </c>
      <c r="J3706" s="9"/>
      <c r="K3706" s="9"/>
      <c r="L3706" s="9"/>
    </row>
    <row r="3707" spans="2:12" ht="15" x14ac:dyDescent="0.25">
      <c r="B3707" t="s">
        <v>3400</v>
      </c>
      <c r="C3707" t="s">
        <v>3401</v>
      </c>
      <c r="D3707" t="str">
        <f>HYPERLINK("https://rhld.insurance.arkansas.gov/NPILookup?Npi=1184711236","1184711236")</f>
        <v>1184711236</v>
      </c>
      <c r="E3707" t="s">
        <v>3542</v>
      </c>
      <c r="F3707" t="s">
        <v>12</v>
      </c>
      <c r="G3707" s="20">
        <v>1</v>
      </c>
      <c r="H3707" t="s">
        <v>4338</v>
      </c>
      <c r="I3707" t="s">
        <v>32</v>
      </c>
      <c r="J3707" s="9"/>
      <c r="K3707" s="9"/>
      <c r="L3707" s="9"/>
    </row>
    <row r="3708" spans="2:12" ht="15" x14ac:dyDescent="0.25">
      <c r="B3708" t="s">
        <v>3400</v>
      </c>
      <c r="C3708" t="s">
        <v>3401</v>
      </c>
      <c r="D3708" t="str">
        <f>HYPERLINK("https://rhld.insurance.arkansas.gov/NPILookup?Npi=1184714743","1184714743")</f>
        <v>1184714743</v>
      </c>
      <c r="E3708" t="s">
        <v>3543</v>
      </c>
      <c r="F3708" t="s">
        <v>12</v>
      </c>
      <c r="G3708" s="20">
        <v>1</v>
      </c>
      <c r="H3708" t="s">
        <v>4338</v>
      </c>
      <c r="I3708" t="s">
        <v>32</v>
      </c>
      <c r="J3708" s="9"/>
      <c r="K3708" s="9"/>
      <c r="L3708" s="9"/>
    </row>
    <row r="3709" spans="2:12" ht="15" x14ac:dyDescent="0.25">
      <c r="B3709" t="s">
        <v>3400</v>
      </c>
      <c r="C3709" t="s">
        <v>3401</v>
      </c>
      <c r="D3709" t="str">
        <f>HYPERLINK("https://rhld.insurance.arkansas.gov/NPILookup?Npi=1184735151","1184735151")</f>
        <v>1184735151</v>
      </c>
      <c r="E3709" t="s">
        <v>3544</v>
      </c>
      <c r="F3709" t="s">
        <v>13</v>
      </c>
      <c r="G3709" s="20">
        <v>1</v>
      </c>
      <c r="H3709" t="s">
        <v>3403</v>
      </c>
      <c r="I3709" t="s">
        <v>4357</v>
      </c>
      <c r="J3709" s="9"/>
      <c r="K3709" s="9"/>
      <c r="L3709" s="9"/>
    </row>
    <row r="3710" spans="2:12" ht="15" x14ac:dyDescent="0.25">
      <c r="B3710" t="s">
        <v>3400</v>
      </c>
      <c r="C3710" t="s">
        <v>3401</v>
      </c>
      <c r="D3710" t="str">
        <f>HYPERLINK("https://rhld.insurance.arkansas.gov/NPILookup?Npi=1184903023","1184903023")</f>
        <v>1184903023</v>
      </c>
      <c r="E3710" t="s">
        <v>3545</v>
      </c>
      <c r="F3710" t="s">
        <v>13</v>
      </c>
      <c r="G3710" s="20">
        <v>1</v>
      </c>
      <c r="H3710" t="s">
        <v>3403</v>
      </c>
      <c r="I3710" t="s">
        <v>32</v>
      </c>
      <c r="J3710" s="9"/>
      <c r="K3710" s="9"/>
      <c r="L3710" s="9"/>
    </row>
    <row r="3711" spans="2:12" ht="15" x14ac:dyDescent="0.25">
      <c r="B3711" t="s">
        <v>3400</v>
      </c>
      <c r="C3711" t="s">
        <v>3401</v>
      </c>
      <c r="D3711" t="str">
        <f>HYPERLINK("https://rhld.insurance.arkansas.gov/NPILookup?Npi=1184939308","1184939308")</f>
        <v>1184939308</v>
      </c>
      <c r="E3711" t="s">
        <v>3546</v>
      </c>
      <c r="F3711" t="s">
        <v>12</v>
      </c>
      <c r="G3711" s="20">
        <v>1</v>
      </c>
      <c r="H3711" t="s">
        <v>4338</v>
      </c>
      <c r="I3711" t="s">
        <v>32</v>
      </c>
      <c r="J3711" s="9"/>
      <c r="K3711" s="9"/>
      <c r="L3711" s="9"/>
    </row>
    <row r="3712" spans="2:12" ht="15" x14ac:dyDescent="0.25">
      <c r="B3712" t="s">
        <v>3400</v>
      </c>
      <c r="C3712" t="s">
        <v>3401</v>
      </c>
      <c r="D3712" t="str">
        <f>HYPERLINK("https://rhld.insurance.arkansas.gov/NPILookup?Npi=1194072553","1194072553")</f>
        <v>1194072553</v>
      </c>
      <c r="E3712" t="s">
        <v>3547</v>
      </c>
      <c r="F3712" t="s">
        <v>13</v>
      </c>
      <c r="G3712" s="20">
        <v>1</v>
      </c>
      <c r="H3712" t="s">
        <v>87</v>
      </c>
      <c r="I3712" t="s">
        <v>4357</v>
      </c>
      <c r="J3712" s="9"/>
      <c r="K3712" s="9"/>
      <c r="L3712" s="9"/>
    </row>
    <row r="3713" spans="2:12" ht="15" x14ac:dyDescent="0.25">
      <c r="B3713" t="s">
        <v>3400</v>
      </c>
      <c r="C3713" t="s">
        <v>3401</v>
      </c>
      <c r="D3713" t="str">
        <f>HYPERLINK("https://rhld.insurance.arkansas.gov/NPILookup?Npi=1194088054","1194088054")</f>
        <v>1194088054</v>
      </c>
      <c r="E3713" t="s">
        <v>3548</v>
      </c>
      <c r="F3713" t="s">
        <v>13</v>
      </c>
      <c r="G3713" s="20">
        <v>1</v>
      </c>
      <c r="H3713" t="s">
        <v>3403</v>
      </c>
      <c r="I3713" t="s">
        <v>4357</v>
      </c>
      <c r="J3713" s="9"/>
      <c r="K3713" s="9"/>
      <c r="L3713" s="9"/>
    </row>
    <row r="3714" spans="2:12" ht="15" x14ac:dyDescent="0.25">
      <c r="B3714" t="s">
        <v>3400</v>
      </c>
      <c r="C3714" t="s">
        <v>3401</v>
      </c>
      <c r="D3714" t="str">
        <f>HYPERLINK("https://rhld.insurance.arkansas.gov/NPILookup?Npi=1194115691","1194115691")</f>
        <v>1194115691</v>
      </c>
      <c r="E3714" t="s">
        <v>3549</v>
      </c>
      <c r="F3714" t="s">
        <v>13</v>
      </c>
      <c r="G3714" s="20">
        <v>1</v>
      </c>
      <c r="H3714" t="s">
        <v>3403</v>
      </c>
      <c r="I3714" t="s">
        <v>32</v>
      </c>
      <c r="J3714" s="9"/>
      <c r="K3714" s="9"/>
      <c r="L3714" s="9"/>
    </row>
    <row r="3715" spans="2:12" ht="15" x14ac:dyDescent="0.25">
      <c r="B3715" t="s">
        <v>3400</v>
      </c>
      <c r="C3715" t="s">
        <v>3401</v>
      </c>
      <c r="D3715" t="str">
        <f>HYPERLINK("https://rhld.insurance.arkansas.gov/NPILookup?Npi=1194121624","1194121624")</f>
        <v>1194121624</v>
      </c>
      <c r="E3715" t="s">
        <v>3550</v>
      </c>
      <c r="F3715" t="s">
        <v>13</v>
      </c>
      <c r="G3715" s="20">
        <v>1</v>
      </c>
      <c r="H3715" t="s">
        <v>3403</v>
      </c>
      <c r="I3715" t="s">
        <v>4357</v>
      </c>
      <c r="J3715" s="9"/>
      <c r="K3715" s="9"/>
      <c r="L3715" s="9"/>
    </row>
    <row r="3716" spans="2:12" ht="15" x14ac:dyDescent="0.25">
      <c r="B3716" t="s">
        <v>3400</v>
      </c>
      <c r="C3716" t="s">
        <v>3401</v>
      </c>
      <c r="D3716" t="str">
        <f>HYPERLINK("https://rhld.insurance.arkansas.gov/NPILookup?Npi=1194145599","1194145599")</f>
        <v>1194145599</v>
      </c>
      <c r="E3716" t="s">
        <v>3551</v>
      </c>
      <c r="F3716" t="s">
        <v>12</v>
      </c>
      <c r="G3716" s="20">
        <v>1</v>
      </c>
      <c r="H3716" t="s">
        <v>4338</v>
      </c>
      <c r="I3716" t="s">
        <v>32</v>
      </c>
      <c r="J3716" s="9"/>
      <c r="K3716" s="9"/>
      <c r="L3716" s="9"/>
    </row>
    <row r="3717" spans="2:12" ht="15" x14ac:dyDescent="0.25">
      <c r="B3717" t="s">
        <v>3400</v>
      </c>
      <c r="C3717" t="s">
        <v>3401</v>
      </c>
      <c r="D3717" t="str">
        <f>HYPERLINK("https://rhld.insurance.arkansas.gov/NPILookup?Npi=1194257378","1194257378")</f>
        <v>1194257378</v>
      </c>
      <c r="E3717" t="s">
        <v>2356</v>
      </c>
      <c r="F3717" t="s">
        <v>13</v>
      </c>
      <c r="G3717" s="20">
        <v>1</v>
      </c>
      <c r="H3717" t="s">
        <v>3403</v>
      </c>
      <c r="I3717" t="s">
        <v>32</v>
      </c>
      <c r="J3717" s="9"/>
      <c r="K3717" s="9"/>
      <c r="L3717" s="9"/>
    </row>
    <row r="3718" spans="2:12" ht="15" x14ac:dyDescent="0.25">
      <c r="B3718" t="s">
        <v>3400</v>
      </c>
      <c r="C3718" t="s">
        <v>3401</v>
      </c>
      <c r="D3718" t="str">
        <f>HYPERLINK("https://rhld.insurance.arkansas.gov/NPILookup?Npi=1194301242","1194301242")</f>
        <v>1194301242</v>
      </c>
      <c r="E3718" t="s">
        <v>2358</v>
      </c>
      <c r="F3718" t="s">
        <v>13</v>
      </c>
      <c r="G3718" s="20">
        <v>1</v>
      </c>
      <c r="H3718" t="s">
        <v>3403</v>
      </c>
      <c r="I3718" t="s">
        <v>4357</v>
      </c>
      <c r="J3718" s="9"/>
      <c r="K3718" s="9"/>
      <c r="L3718" s="9"/>
    </row>
    <row r="3719" spans="2:12" ht="15" x14ac:dyDescent="0.25">
      <c r="B3719" t="s">
        <v>3400</v>
      </c>
      <c r="C3719" t="s">
        <v>3401</v>
      </c>
      <c r="D3719" t="str">
        <f>HYPERLINK("https://rhld.insurance.arkansas.gov/NPILookup?Npi=1194311498","1194311498")</f>
        <v>1194311498</v>
      </c>
      <c r="E3719" t="s">
        <v>3552</v>
      </c>
      <c r="F3719" t="s">
        <v>13</v>
      </c>
      <c r="G3719" s="20">
        <v>1</v>
      </c>
      <c r="H3719" t="s">
        <v>3403</v>
      </c>
      <c r="I3719" t="s">
        <v>32</v>
      </c>
      <c r="J3719" s="9"/>
      <c r="K3719" s="9"/>
      <c r="L3719" s="9"/>
    </row>
    <row r="3720" spans="2:12" ht="15" x14ac:dyDescent="0.25">
      <c r="B3720" t="s">
        <v>3400</v>
      </c>
      <c r="C3720" t="s">
        <v>3401</v>
      </c>
      <c r="D3720" t="str">
        <f>HYPERLINK("https://rhld.insurance.arkansas.gov/NPILookup?Npi=1194356535","1194356535")</f>
        <v>1194356535</v>
      </c>
      <c r="E3720" t="s">
        <v>2359</v>
      </c>
      <c r="F3720" t="s">
        <v>13</v>
      </c>
      <c r="G3720" s="20">
        <v>1</v>
      </c>
      <c r="H3720" t="s">
        <v>3403</v>
      </c>
      <c r="I3720" t="s">
        <v>4357</v>
      </c>
      <c r="J3720" s="9"/>
      <c r="K3720" s="9"/>
      <c r="L3720" s="9"/>
    </row>
    <row r="3721" spans="2:12" ht="15" x14ac:dyDescent="0.25">
      <c r="B3721" t="s">
        <v>3400</v>
      </c>
      <c r="C3721" t="s">
        <v>3401</v>
      </c>
      <c r="D3721" t="str">
        <f>HYPERLINK("https://rhld.insurance.arkansas.gov/NPILookup?Npi=1194367136","1194367136")</f>
        <v>1194367136</v>
      </c>
      <c r="E3721" t="s">
        <v>2360</v>
      </c>
      <c r="F3721" t="s">
        <v>13</v>
      </c>
      <c r="G3721" s="20">
        <v>1</v>
      </c>
      <c r="H3721" t="s">
        <v>4357</v>
      </c>
      <c r="I3721" t="s">
        <v>4357</v>
      </c>
      <c r="J3721" s="9"/>
      <c r="K3721" s="9"/>
      <c r="L3721" s="9"/>
    </row>
    <row r="3722" spans="2:12" ht="15" x14ac:dyDescent="0.25">
      <c r="B3722" t="s">
        <v>3400</v>
      </c>
      <c r="C3722" t="s">
        <v>3401</v>
      </c>
      <c r="D3722" t="str">
        <f>HYPERLINK("https://rhld.insurance.arkansas.gov/NPILookup?Npi=1194385989","1194385989")</f>
        <v>1194385989</v>
      </c>
      <c r="E3722" t="s">
        <v>3553</v>
      </c>
      <c r="F3722" t="s">
        <v>13</v>
      </c>
      <c r="G3722" s="20">
        <v>1</v>
      </c>
      <c r="H3722" t="s">
        <v>3403</v>
      </c>
      <c r="I3722" t="s">
        <v>32</v>
      </c>
      <c r="J3722" s="9"/>
      <c r="K3722" s="9"/>
      <c r="L3722" s="9"/>
    </row>
    <row r="3723" spans="2:12" ht="15" x14ac:dyDescent="0.25">
      <c r="B3723" t="s">
        <v>3400</v>
      </c>
      <c r="C3723" t="s">
        <v>3401</v>
      </c>
      <c r="D3723" t="str">
        <f>HYPERLINK("https://rhld.insurance.arkansas.gov/NPILookup?Npi=1194407379","1194407379")</f>
        <v>1194407379</v>
      </c>
      <c r="E3723" t="s">
        <v>3554</v>
      </c>
      <c r="F3723" t="s">
        <v>13</v>
      </c>
      <c r="G3723" s="20">
        <v>1</v>
      </c>
      <c r="H3723" t="s">
        <v>3403</v>
      </c>
      <c r="I3723" t="s">
        <v>32</v>
      </c>
      <c r="J3723" s="9"/>
      <c r="K3723" s="9"/>
      <c r="L3723" s="9"/>
    </row>
    <row r="3724" spans="2:12" ht="15" x14ac:dyDescent="0.25">
      <c r="B3724" t="s">
        <v>3400</v>
      </c>
      <c r="C3724" t="s">
        <v>3401</v>
      </c>
      <c r="D3724" t="str">
        <f>HYPERLINK("https://rhld.insurance.arkansas.gov/NPILookup?Npi=1194442731","1194442731")</f>
        <v>1194442731</v>
      </c>
      <c r="E3724" t="s">
        <v>2361</v>
      </c>
      <c r="F3724" t="s">
        <v>13</v>
      </c>
      <c r="G3724" s="20">
        <v>1</v>
      </c>
      <c r="H3724" t="s">
        <v>4357</v>
      </c>
      <c r="I3724" t="s">
        <v>4357</v>
      </c>
      <c r="J3724" s="9"/>
      <c r="K3724" s="9"/>
      <c r="L3724" s="9"/>
    </row>
    <row r="3725" spans="2:12" ht="15" x14ac:dyDescent="0.25">
      <c r="B3725" t="s">
        <v>3400</v>
      </c>
      <c r="C3725" t="s">
        <v>3401</v>
      </c>
      <c r="D3725" t="str">
        <f>HYPERLINK("https://rhld.insurance.arkansas.gov/NPILookup?Npi=1194560771","1194560771")</f>
        <v>1194560771</v>
      </c>
      <c r="E3725" t="s">
        <v>2060</v>
      </c>
      <c r="F3725" t="s">
        <v>13</v>
      </c>
      <c r="G3725" s="20">
        <v>1</v>
      </c>
      <c r="H3725" t="s">
        <v>4357</v>
      </c>
      <c r="I3725" t="s">
        <v>4357</v>
      </c>
      <c r="J3725" s="9"/>
      <c r="K3725" s="9"/>
      <c r="L3725" s="9"/>
    </row>
    <row r="3726" spans="2:12" ht="15" x14ac:dyDescent="0.25">
      <c r="B3726" t="s">
        <v>3400</v>
      </c>
      <c r="C3726" t="s">
        <v>3401</v>
      </c>
      <c r="D3726" t="str">
        <f>HYPERLINK("https://rhld.insurance.arkansas.gov/NPILookup?Npi=1194767657","1194767657")</f>
        <v>1194767657</v>
      </c>
      <c r="E3726" t="s">
        <v>3555</v>
      </c>
      <c r="F3726" t="s">
        <v>13</v>
      </c>
      <c r="G3726" s="20">
        <v>1</v>
      </c>
      <c r="H3726" t="s">
        <v>3403</v>
      </c>
      <c r="I3726" t="s">
        <v>32</v>
      </c>
      <c r="J3726" s="9"/>
      <c r="K3726" s="9"/>
      <c r="L3726" s="9"/>
    </row>
    <row r="3727" spans="2:12" ht="15" x14ac:dyDescent="0.25">
      <c r="B3727" t="s">
        <v>3400</v>
      </c>
      <c r="C3727" t="s">
        <v>3401</v>
      </c>
      <c r="D3727" t="str">
        <f>HYPERLINK("https://rhld.insurance.arkansas.gov/NPILookup?Npi=1194824193","1194824193")</f>
        <v>1194824193</v>
      </c>
      <c r="E3727" t="s">
        <v>3556</v>
      </c>
      <c r="F3727" t="s">
        <v>12</v>
      </c>
      <c r="G3727" s="20">
        <v>1</v>
      </c>
      <c r="H3727" t="s">
        <v>4338</v>
      </c>
      <c r="I3727" t="s">
        <v>4357</v>
      </c>
      <c r="J3727" s="9"/>
      <c r="K3727" s="9"/>
      <c r="L3727" s="9"/>
    </row>
    <row r="3728" spans="2:12" ht="15" x14ac:dyDescent="0.25">
      <c r="B3728" t="s">
        <v>3400</v>
      </c>
      <c r="C3728" t="s">
        <v>3401</v>
      </c>
      <c r="D3728" t="str">
        <f>HYPERLINK("https://rhld.insurance.arkansas.gov/NPILookup?Npi=1205096351","1205096351")</f>
        <v>1205096351</v>
      </c>
      <c r="E3728" t="s">
        <v>2367</v>
      </c>
      <c r="F3728" t="s">
        <v>13</v>
      </c>
      <c r="G3728" s="20">
        <v>1</v>
      </c>
      <c r="H3728" t="s">
        <v>3403</v>
      </c>
      <c r="I3728" t="s">
        <v>4357</v>
      </c>
      <c r="J3728" s="9"/>
      <c r="K3728" s="9"/>
      <c r="L3728" s="9"/>
    </row>
    <row r="3729" spans="2:12" ht="15" x14ac:dyDescent="0.25">
      <c r="B3729" t="s">
        <v>3400</v>
      </c>
      <c r="C3729" t="s">
        <v>3401</v>
      </c>
      <c r="D3729" t="str">
        <f>HYPERLINK("https://rhld.insurance.arkansas.gov/NPILookup?Npi=1205118858","1205118858")</f>
        <v>1205118858</v>
      </c>
      <c r="E3729" t="s">
        <v>2368</v>
      </c>
      <c r="F3729" t="s">
        <v>13</v>
      </c>
      <c r="G3729" s="20">
        <v>1</v>
      </c>
      <c r="H3729" t="s">
        <v>4357</v>
      </c>
      <c r="I3729" t="s">
        <v>4357</v>
      </c>
      <c r="J3729" s="9"/>
      <c r="K3729" s="9"/>
      <c r="L3729" s="9"/>
    </row>
    <row r="3730" spans="2:12" ht="15" x14ac:dyDescent="0.25">
      <c r="B3730" t="s">
        <v>3400</v>
      </c>
      <c r="C3730" t="s">
        <v>3401</v>
      </c>
      <c r="D3730" t="str">
        <f>HYPERLINK("https://rhld.insurance.arkansas.gov/NPILookup?Npi=1205147105","1205147105")</f>
        <v>1205147105</v>
      </c>
      <c r="E3730" t="s">
        <v>3557</v>
      </c>
      <c r="F3730" t="s">
        <v>12</v>
      </c>
      <c r="G3730" s="20">
        <v>1</v>
      </c>
      <c r="H3730" t="s">
        <v>4338</v>
      </c>
      <c r="I3730" t="s">
        <v>32</v>
      </c>
      <c r="J3730" s="9"/>
      <c r="K3730" s="9"/>
      <c r="L3730" s="9"/>
    </row>
    <row r="3731" spans="2:12" ht="15" x14ac:dyDescent="0.25">
      <c r="B3731" t="s">
        <v>3400</v>
      </c>
      <c r="C3731" t="s">
        <v>3401</v>
      </c>
      <c r="D3731" t="str">
        <f>HYPERLINK("https://rhld.insurance.arkansas.gov/NPILookup?Npi=1205305307","1205305307")</f>
        <v>1205305307</v>
      </c>
      <c r="E3731" t="s">
        <v>2371</v>
      </c>
      <c r="F3731" t="s">
        <v>13</v>
      </c>
      <c r="G3731" s="20">
        <v>1</v>
      </c>
      <c r="H3731" t="s">
        <v>4357</v>
      </c>
      <c r="I3731" t="s">
        <v>4357</v>
      </c>
      <c r="J3731" s="9"/>
      <c r="K3731" s="9"/>
      <c r="L3731" s="9"/>
    </row>
    <row r="3732" spans="2:12" ht="15" x14ac:dyDescent="0.25">
      <c r="B3732" t="s">
        <v>3400</v>
      </c>
      <c r="C3732" t="s">
        <v>3401</v>
      </c>
      <c r="D3732" t="str">
        <f>HYPERLINK("https://rhld.insurance.arkansas.gov/NPILookup?Npi=1205315900","1205315900")</f>
        <v>1205315900</v>
      </c>
      <c r="E3732" t="s">
        <v>3558</v>
      </c>
      <c r="F3732" t="s">
        <v>13</v>
      </c>
      <c r="G3732" s="20">
        <v>1</v>
      </c>
      <c r="H3732" t="s">
        <v>3403</v>
      </c>
      <c r="I3732" t="s">
        <v>32</v>
      </c>
      <c r="J3732" s="9"/>
      <c r="K3732" s="9"/>
      <c r="L3732" s="9"/>
    </row>
    <row r="3733" spans="2:12" ht="15" x14ac:dyDescent="0.25">
      <c r="B3733" t="s">
        <v>3400</v>
      </c>
      <c r="C3733" t="s">
        <v>3401</v>
      </c>
      <c r="D3733" t="str">
        <f>HYPERLINK("https://rhld.insurance.arkansas.gov/NPILookup?Npi=1205408176","1205408176")</f>
        <v>1205408176</v>
      </c>
      <c r="E3733" t="s">
        <v>3559</v>
      </c>
      <c r="F3733" t="s">
        <v>13</v>
      </c>
      <c r="G3733" s="20">
        <v>1</v>
      </c>
      <c r="H3733" t="s">
        <v>87</v>
      </c>
      <c r="I3733" t="s">
        <v>32</v>
      </c>
      <c r="J3733" s="9"/>
      <c r="K3733" s="9"/>
      <c r="L3733" s="9"/>
    </row>
    <row r="3734" spans="2:12" ht="15" x14ac:dyDescent="0.25">
      <c r="B3734" t="s">
        <v>3400</v>
      </c>
      <c r="C3734" t="s">
        <v>3401</v>
      </c>
      <c r="D3734" t="str">
        <f>HYPERLINK("https://rhld.insurance.arkansas.gov/NPILookup?Npi=1205415791","1205415791")</f>
        <v>1205415791</v>
      </c>
      <c r="E3734" t="s">
        <v>3560</v>
      </c>
      <c r="F3734" t="s">
        <v>13</v>
      </c>
      <c r="G3734" s="20">
        <v>1</v>
      </c>
      <c r="H3734" t="s">
        <v>3403</v>
      </c>
      <c r="I3734" t="s">
        <v>32</v>
      </c>
      <c r="J3734" s="9"/>
      <c r="K3734" s="9"/>
      <c r="L3734" s="9"/>
    </row>
    <row r="3735" spans="2:12" ht="15" x14ac:dyDescent="0.25">
      <c r="B3735" t="s">
        <v>3400</v>
      </c>
      <c r="C3735" t="s">
        <v>3401</v>
      </c>
      <c r="D3735" t="str">
        <f>HYPERLINK("https://rhld.insurance.arkansas.gov/NPILookup?Npi=1205428604","1205428604")</f>
        <v>1205428604</v>
      </c>
      <c r="E3735" t="s">
        <v>3561</v>
      </c>
      <c r="F3735" t="s">
        <v>13</v>
      </c>
      <c r="G3735" s="20">
        <v>1</v>
      </c>
      <c r="H3735" t="s">
        <v>3403</v>
      </c>
      <c r="I3735" t="s">
        <v>4357</v>
      </c>
      <c r="J3735" s="9"/>
      <c r="K3735" s="9"/>
      <c r="L3735" s="9"/>
    </row>
    <row r="3736" spans="2:12" ht="15" x14ac:dyDescent="0.25">
      <c r="B3736" t="s">
        <v>3400</v>
      </c>
      <c r="C3736" t="s">
        <v>3401</v>
      </c>
      <c r="D3736" t="str">
        <f>HYPERLINK("https://rhld.insurance.arkansas.gov/NPILookup?Npi=1205646296","1205646296")</f>
        <v>1205646296</v>
      </c>
      <c r="E3736" t="s">
        <v>2373</v>
      </c>
      <c r="F3736" t="s">
        <v>13</v>
      </c>
      <c r="G3736" s="20">
        <v>1</v>
      </c>
      <c r="H3736" t="s">
        <v>4357</v>
      </c>
      <c r="I3736" t="s">
        <v>4357</v>
      </c>
      <c r="J3736" s="9"/>
      <c r="K3736" s="9"/>
      <c r="L3736" s="9"/>
    </row>
    <row r="3737" spans="2:12" ht="15" x14ac:dyDescent="0.25">
      <c r="B3737" t="s">
        <v>3400</v>
      </c>
      <c r="C3737" t="s">
        <v>3401</v>
      </c>
      <c r="D3737" t="str">
        <f>HYPERLINK("https://rhld.insurance.arkansas.gov/NPILookup?Npi=1205829710","1205829710")</f>
        <v>1205829710</v>
      </c>
      <c r="E3737" t="s">
        <v>3562</v>
      </c>
      <c r="F3737" t="s">
        <v>13</v>
      </c>
      <c r="G3737" s="20">
        <v>1</v>
      </c>
      <c r="H3737" t="s">
        <v>3403</v>
      </c>
      <c r="I3737" t="s">
        <v>32</v>
      </c>
      <c r="J3737" s="9"/>
      <c r="K3737" s="9"/>
      <c r="L3737" s="9"/>
    </row>
    <row r="3738" spans="2:12" ht="15" x14ac:dyDescent="0.25">
      <c r="B3738" t="s">
        <v>3400</v>
      </c>
      <c r="C3738" t="s">
        <v>3401</v>
      </c>
      <c r="D3738" t="str">
        <f>HYPERLINK("https://rhld.insurance.arkansas.gov/NPILookup?Npi=1205832920","1205832920")</f>
        <v>1205832920</v>
      </c>
      <c r="E3738" t="s">
        <v>2374</v>
      </c>
      <c r="F3738" t="s">
        <v>13</v>
      </c>
      <c r="G3738" s="20">
        <v>1</v>
      </c>
      <c r="H3738" t="s">
        <v>3403</v>
      </c>
      <c r="I3738" t="s">
        <v>4357</v>
      </c>
      <c r="J3738" s="9"/>
      <c r="K3738" s="9"/>
      <c r="L3738" s="9"/>
    </row>
    <row r="3739" spans="2:12" ht="15" x14ac:dyDescent="0.25">
      <c r="B3739" t="s">
        <v>3400</v>
      </c>
      <c r="C3739" t="s">
        <v>3401</v>
      </c>
      <c r="D3739" t="str">
        <f>HYPERLINK("https://rhld.insurance.arkansas.gov/NPILookup?Npi=1205875846","1205875846")</f>
        <v>1205875846</v>
      </c>
      <c r="E3739" t="s">
        <v>3563</v>
      </c>
      <c r="F3739" t="s">
        <v>13</v>
      </c>
      <c r="G3739" s="20">
        <v>1</v>
      </c>
      <c r="H3739" t="s">
        <v>3403</v>
      </c>
      <c r="I3739" t="s">
        <v>4357</v>
      </c>
      <c r="J3739" s="9"/>
      <c r="K3739" s="9"/>
      <c r="L3739" s="9"/>
    </row>
    <row r="3740" spans="2:12" ht="15" x14ac:dyDescent="0.25">
      <c r="B3740" t="s">
        <v>3400</v>
      </c>
      <c r="C3740" t="s">
        <v>3401</v>
      </c>
      <c r="D3740" t="str">
        <f>HYPERLINK("https://rhld.insurance.arkansas.gov/NPILookup?Npi=1205878105","1205878105")</f>
        <v>1205878105</v>
      </c>
      <c r="E3740" t="s">
        <v>2375</v>
      </c>
      <c r="F3740" t="s">
        <v>13</v>
      </c>
      <c r="G3740" s="20">
        <v>1</v>
      </c>
      <c r="H3740" t="s">
        <v>3403</v>
      </c>
      <c r="I3740" t="s">
        <v>4357</v>
      </c>
      <c r="J3740" s="9"/>
      <c r="K3740" s="9"/>
      <c r="L3740" s="9"/>
    </row>
    <row r="3741" spans="2:12" ht="15" x14ac:dyDescent="0.25">
      <c r="B3741" t="s">
        <v>3400</v>
      </c>
      <c r="C3741" t="s">
        <v>3401</v>
      </c>
      <c r="D3741" t="str">
        <f>HYPERLINK("https://rhld.insurance.arkansas.gov/NPILookup?Npi=1205948247","1205948247")</f>
        <v>1205948247</v>
      </c>
      <c r="E3741" t="s">
        <v>479</v>
      </c>
      <c r="F3741" t="s">
        <v>13</v>
      </c>
      <c r="G3741" s="20">
        <v>1</v>
      </c>
      <c r="H3741" t="s">
        <v>3403</v>
      </c>
      <c r="I3741" t="s">
        <v>4357</v>
      </c>
      <c r="J3741" s="9"/>
      <c r="K3741" s="9"/>
      <c r="L3741" s="9"/>
    </row>
    <row r="3742" spans="2:12" ht="15" x14ac:dyDescent="0.25">
      <c r="B3742" t="s">
        <v>3400</v>
      </c>
      <c r="C3742" t="s">
        <v>3401</v>
      </c>
      <c r="D3742" t="str">
        <f>HYPERLINK("https://rhld.insurance.arkansas.gov/NPILookup?Npi=1215027883","1215027883")</f>
        <v>1215027883</v>
      </c>
      <c r="E3742" t="s">
        <v>1283</v>
      </c>
      <c r="F3742" t="s">
        <v>12</v>
      </c>
      <c r="G3742" s="20">
        <v>1</v>
      </c>
      <c r="H3742" t="s">
        <v>4338</v>
      </c>
      <c r="I3742" t="s">
        <v>32</v>
      </c>
      <c r="J3742" s="9"/>
      <c r="K3742" s="9"/>
      <c r="L3742" s="9"/>
    </row>
    <row r="3743" spans="2:12" ht="15" x14ac:dyDescent="0.25">
      <c r="B3743" t="s">
        <v>3400</v>
      </c>
      <c r="C3743" t="s">
        <v>3401</v>
      </c>
      <c r="D3743" t="str">
        <f>HYPERLINK("https://rhld.insurance.arkansas.gov/NPILookup?Npi=1215167150","1215167150")</f>
        <v>1215167150</v>
      </c>
      <c r="E3743" t="s">
        <v>3564</v>
      </c>
      <c r="F3743" t="s">
        <v>13</v>
      </c>
      <c r="G3743" s="20">
        <v>1</v>
      </c>
      <c r="H3743" t="s">
        <v>3403</v>
      </c>
      <c r="I3743" t="s">
        <v>4357</v>
      </c>
      <c r="J3743" s="9"/>
      <c r="K3743" s="9"/>
      <c r="L3743" s="9"/>
    </row>
    <row r="3744" spans="2:12" ht="15" x14ac:dyDescent="0.25">
      <c r="B3744" t="s">
        <v>3400</v>
      </c>
      <c r="C3744" t="s">
        <v>3401</v>
      </c>
      <c r="D3744" t="str">
        <f>HYPERLINK("https://rhld.insurance.arkansas.gov/NPILookup?Npi=1215276977","1215276977")</f>
        <v>1215276977</v>
      </c>
      <c r="E3744" t="s">
        <v>1703</v>
      </c>
      <c r="F3744" t="s">
        <v>13</v>
      </c>
      <c r="G3744" s="20">
        <v>1</v>
      </c>
      <c r="H3744" t="s">
        <v>4357</v>
      </c>
      <c r="I3744" t="s">
        <v>4357</v>
      </c>
      <c r="J3744" s="9"/>
      <c r="K3744" s="9"/>
      <c r="L3744" s="9"/>
    </row>
    <row r="3745" spans="2:12" ht="15" x14ac:dyDescent="0.25">
      <c r="B3745" t="s">
        <v>3400</v>
      </c>
      <c r="C3745" t="s">
        <v>3401</v>
      </c>
      <c r="D3745" t="str">
        <f>HYPERLINK("https://rhld.insurance.arkansas.gov/NPILookup?Npi=1215336474","1215336474")</f>
        <v>1215336474</v>
      </c>
      <c r="E3745" t="s">
        <v>3565</v>
      </c>
      <c r="F3745" t="s">
        <v>13</v>
      </c>
      <c r="G3745" s="20">
        <v>1</v>
      </c>
      <c r="H3745" t="s">
        <v>3403</v>
      </c>
      <c r="I3745" t="s">
        <v>32</v>
      </c>
      <c r="J3745" s="9"/>
      <c r="K3745" s="9"/>
      <c r="L3745" s="9"/>
    </row>
    <row r="3746" spans="2:12" ht="15" x14ac:dyDescent="0.25">
      <c r="B3746" t="s">
        <v>3400</v>
      </c>
      <c r="C3746" t="s">
        <v>3401</v>
      </c>
      <c r="D3746" t="str">
        <f>HYPERLINK("https://rhld.insurance.arkansas.gov/NPILookup?Npi=1215447560","1215447560")</f>
        <v>1215447560</v>
      </c>
      <c r="E3746" t="s">
        <v>2382</v>
      </c>
      <c r="F3746" t="s">
        <v>13</v>
      </c>
      <c r="G3746" s="20">
        <v>1</v>
      </c>
      <c r="H3746" t="s">
        <v>3403</v>
      </c>
      <c r="I3746" t="s">
        <v>4357</v>
      </c>
      <c r="J3746" s="9"/>
      <c r="K3746" s="9"/>
      <c r="L3746" s="9"/>
    </row>
    <row r="3747" spans="2:12" ht="15" x14ac:dyDescent="0.25">
      <c r="B3747" t="s">
        <v>3400</v>
      </c>
      <c r="C3747" t="s">
        <v>3401</v>
      </c>
      <c r="D3747" t="str">
        <f>HYPERLINK("https://rhld.insurance.arkansas.gov/NPILookup?Npi=1215498316","1215498316")</f>
        <v>1215498316</v>
      </c>
      <c r="E3747" t="s">
        <v>3566</v>
      </c>
      <c r="F3747" t="s">
        <v>13</v>
      </c>
      <c r="G3747" s="20">
        <v>1</v>
      </c>
      <c r="H3747" t="s">
        <v>3403</v>
      </c>
      <c r="I3747" t="s">
        <v>4357</v>
      </c>
      <c r="J3747" s="9"/>
      <c r="K3747" s="9"/>
      <c r="L3747" s="9"/>
    </row>
    <row r="3748" spans="2:12" ht="15" x14ac:dyDescent="0.25">
      <c r="B3748" t="s">
        <v>3400</v>
      </c>
      <c r="C3748" t="s">
        <v>3401</v>
      </c>
      <c r="D3748" t="str">
        <f>HYPERLINK("https://rhld.insurance.arkansas.gov/NPILookup?Npi=1215505615","1215505615")</f>
        <v>1215505615</v>
      </c>
      <c r="E3748" t="s">
        <v>3567</v>
      </c>
      <c r="F3748" t="s">
        <v>13</v>
      </c>
      <c r="G3748" s="20">
        <v>1</v>
      </c>
      <c r="H3748" t="s">
        <v>3403</v>
      </c>
      <c r="I3748" t="s">
        <v>32</v>
      </c>
      <c r="J3748" s="9"/>
      <c r="K3748" s="9"/>
      <c r="L3748" s="9"/>
    </row>
    <row r="3749" spans="2:12" ht="15" x14ac:dyDescent="0.25">
      <c r="B3749" t="s">
        <v>3400</v>
      </c>
      <c r="C3749" t="s">
        <v>3401</v>
      </c>
      <c r="D3749" t="str">
        <f>HYPERLINK("https://rhld.insurance.arkansas.gov/NPILookup?Npi=1215507363","1215507363")</f>
        <v>1215507363</v>
      </c>
      <c r="E3749" t="s">
        <v>2385</v>
      </c>
      <c r="F3749" t="s">
        <v>13</v>
      </c>
      <c r="G3749" s="20">
        <v>1</v>
      </c>
      <c r="H3749" t="s">
        <v>4357</v>
      </c>
      <c r="I3749" t="s">
        <v>4357</v>
      </c>
      <c r="J3749" s="9"/>
      <c r="K3749" s="9"/>
      <c r="L3749" s="9"/>
    </row>
    <row r="3750" spans="2:12" ht="15" x14ac:dyDescent="0.25">
      <c r="B3750" t="s">
        <v>3400</v>
      </c>
      <c r="C3750" t="s">
        <v>3401</v>
      </c>
      <c r="D3750" t="str">
        <f>HYPERLINK("https://rhld.insurance.arkansas.gov/NPILookup?Npi=1215590534","1215590534")</f>
        <v>1215590534</v>
      </c>
      <c r="E3750" t="s">
        <v>3568</v>
      </c>
      <c r="F3750" t="s">
        <v>13</v>
      </c>
      <c r="G3750" s="20">
        <v>1</v>
      </c>
      <c r="H3750" t="s">
        <v>4357</v>
      </c>
      <c r="I3750" t="s">
        <v>4357</v>
      </c>
      <c r="J3750" s="9"/>
      <c r="K3750" s="9"/>
      <c r="L3750" s="9"/>
    </row>
    <row r="3751" spans="2:12" ht="15" x14ac:dyDescent="0.25">
      <c r="B3751" t="s">
        <v>3400</v>
      </c>
      <c r="C3751" t="s">
        <v>3401</v>
      </c>
      <c r="D3751" t="str">
        <f>HYPERLINK("https://rhld.insurance.arkansas.gov/NPILookup?Npi=1215665708","1215665708")</f>
        <v>1215665708</v>
      </c>
      <c r="E3751" t="s">
        <v>3569</v>
      </c>
      <c r="F3751" t="s">
        <v>13</v>
      </c>
      <c r="G3751" s="20">
        <v>1</v>
      </c>
      <c r="H3751" t="s">
        <v>3403</v>
      </c>
      <c r="I3751" t="s">
        <v>32</v>
      </c>
      <c r="J3751" s="9"/>
      <c r="K3751" s="9"/>
      <c r="L3751" s="9"/>
    </row>
    <row r="3752" spans="2:12" ht="15" x14ac:dyDescent="0.25">
      <c r="B3752" t="s">
        <v>3400</v>
      </c>
      <c r="C3752" t="s">
        <v>3401</v>
      </c>
      <c r="D3752" t="str">
        <f>HYPERLINK("https://rhld.insurance.arkansas.gov/NPILookup?Npi=1215754627","1215754627")</f>
        <v>1215754627</v>
      </c>
      <c r="E3752" t="s">
        <v>3570</v>
      </c>
      <c r="F3752" t="s">
        <v>13</v>
      </c>
      <c r="G3752" s="20">
        <v>1</v>
      </c>
      <c r="H3752" t="s">
        <v>3403</v>
      </c>
      <c r="I3752" t="s">
        <v>4357</v>
      </c>
      <c r="J3752" s="9"/>
      <c r="K3752" s="9"/>
      <c r="L3752" s="9"/>
    </row>
    <row r="3753" spans="2:12" ht="15" x14ac:dyDescent="0.25">
      <c r="B3753" t="s">
        <v>3400</v>
      </c>
      <c r="C3753" t="s">
        <v>3401</v>
      </c>
      <c r="D3753" t="str">
        <f>HYPERLINK("https://rhld.insurance.arkansas.gov/NPILookup?Npi=1225024482","1225024482")</f>
        <v>1225024482</v>
      </c>
      <c r="E3753" t="s">
        <v>2393</v>
      </c>
      <c r="F3753" t="s">
        <v>13</v>
      </c>
      <c r="G3753" s="20">
        <v>1</v>
      </c>
      <c r="H3753" t="s">
        <v>3403</v>
      </c>
      <c r="I3753" t="s">
        <v>32</v>
      </c>
      <c r="J3753" s="9"/>
      <c r="K3753" s="9"/>
      <c r="L3753" s="9"/>
    </row>
    <row r="3754" spans="2:12" ht="15" x14ac:dyDescent="0.25">
      <c r="B3754" t="s">
        <v>3400</v>
      </c>
      <c r="C3754" t="s">
        <v>3401</v>
      </c>
      <c r="D3754" t="str">
        <f>HYPERLINK("https://rhld.insurance.arkansas.gov/NPILookup?Npi=1225072044","1225072044")</f>
        <v>1225072044</v>
      </c>
      <c r="E3754" t="s">
        <v>3571</v>
      </c>
      <c r="F3754" t="s">
        <v>13</v>
      </c>
      <c r="G3754" s="20">
        <v>1</v>
      </c>
      <c r="H3754" t="s">
        <v>3403</v>
      </c>
      <c r="I3754" t="s">
        <v>4357</v>
      </c>
      <c r="J3754" s="9"/>
      <c r="K3754" s="9"/>
      <c r="L3754" s="9"/>
    </row>
    <row r="3755" spans="2:12" ht="15" x14ac:dyDescent="0.25">
      <c r="B3755" t="s">
        <v>3400</v>
      </c>
      <c r="C3755" t="s">
        <v>3401</v>
      </c>
      <c r="D3755" t="str">
        <f>HYPERLINK("https://rhld.insurance.arkansas.gov/NPILookup?Npi=1225253248","1225253248")</f>
        <v>1225253248</v>
      </c>
      <c r="E3755" t="s">
        <v>3572</v>
      </c>
      <c r="F3755" t="s">
        <v>12</v>
      </c>
      <c r="G3755" s="20">
        <v>1</v>
      </c>
      <c r="H3755" t="s">
        <v>4338</v>
      </c>
      <c r="I3755" t="s">
        <v>32</v>
      </c>
      <c r="J3755" s="9"/>
      <c r="K3755" s="9"/>
      <c r="L3755" s="9"/>
    </row>
    <row r="3756" spans="2:12" ht="15" x14ac:dyDescent="0.25">
      <c r="B3756" t="s">
        <v>3400</v>
      </c>
      <c r="C3756" t="s">
        <v>3401</v>
      </c>
      <c r="D3756" t="str">
        <f>HYPERLINK("https://rhld.insurance.arkansas.gov/NPILookup?Npi=1225373749","1225373749")</f>
        <v>1225373749</v>
      </c>
      <c r="E3756" t="s">
        <v>3573</v>
      </c>
      <c r="F3756" t="s">
        <v>13</v>
      </c>
      <c r="G3756" s="20">
        <v>1</v>
      </c>
      <c r="H3756" t="s">
        <v>3403</v>
      </c>
      <c r="I3756" t="s">
        <v>32</v>
      </c>
      <c r="J3756" s="9"/>
      <c r="K3756" s="9"/>
      <c r="L3756" s="9"/>
    </row>
    <row r="3757" spans="2:12" ht="15" x14ac:dyDescent="0.25">
      <c r="B3757" t="s">
        <v>3400</v>
      </c>
      <c r="C3757" t="s">
        <v>3401</v>
      </c>
      <c r="D3757" t="str">
        <f>HYPERLINK("https://rhld.insurance.arkansas.gov/NPILookup?Npi=1225490600","1225490600")</f>
        <v>1225490600</v>
      </c>
      <c r="E3757" t="s">
        <v>2401</v>
      </c>
      <c r="F3757" t="s">
        <v>13</v>
      </c>
      <c r="G3757" s="20">
        <v>1</v>
      </c>
      <c r="H3757" t="s">
        <v>3403</v>
      </c>
      <c r="I3757" t="s">
        <v>4357</v>
      </c>
      <c r="J3757" s="9"/>
      <c r="K3757" s="9"/>
      <c r="L3757" s="9"/>
    </row>
    <row r="3758" spans="2:12" ht="15" x14ac:dyDescent="0.25">
      <c r="B3758" t="s">
        <v>3400</v>
      </c>
      <c r="C3758" t="s">
        <v>3401</v>
      </c>
      <c r="D3758" t="str">
        <f>HYPERLINK("https://rhld.insurance.arkansas.gov/NPILookup?Npi=1225659998","1225659998")</f>
        <v>1225659998</v>
      </c>
      <c r="E3758" t="s">
        <v>3574</v>
      </c>
      <c r="F3758" t="s">
        <v>13</v>
      </c>
      <c r="G3758" s="20">
        <v>1</v>
      </c>
      <c r="H3758" t="s">
        <v>3403</v>
      </c>
      <c r="I3758" t="s">
        <v>32</v>
      </c>
      <c r="J3758" s="9"/>
      <c r="K3758" s="9"/>
      <c r="L3758" s="9"/>
    </row>
    <row r="3759" spans="2:12" ht="15" x14ac:dyDescent="0.25">
      <c r="B3759" t="s">
        <v>3400</v>
      </c>
      <c r="C3759" t="s">
        <v>3401</v>
      </c>
      <c r="D3759" t="str">
        <f>HYPERLINK("https://rhld.insurance.arkansas.gov/NPILookup?Npi=1225699325","1225699325")</f>
        <v>1225699325</v>
      </c>
      <c r="E3759" t="s">
        <v>2404</v>
      </c>
      <c r="F3759" t="s">
        <v>13</v>
      </c>
      <c r="G3759" s="20">
        <v>1</v>
      </c>
      <c r="H3759" t="s">
        <v>4357</v>
      </c>
      <c r="I3759" t="s">
        <v>4357</v>
      </c>
      <c r="J3759" s="9"/>
      <c r="K3759" s="9"/>
      <c r="L3759" s="9"/>
    </row>
    <row r="3760" spans="2:12" ht="15" x14ac:dyDescent="0.25">
      <c r="B3760" t="s">
        <v>3400</v>
      </c>
      <c r="C3760" t="s">
        <v>3401</v>
      </c>
      <c r="D3760" t="str">
        <f>HYPERLINK("https://rhld.insurance.arkansas.gov/NPILookup?Npi=1235122383","1235122383")</f>
        <v>1235122383</v>
      </c>
      <c r="E3760" t="s">
        <v>3575</v>
      </c>
      <c r="F3760" t="s">
        <v>13</v>
      </c>
      <c r="G3760" s="20">
        <v>1</v>
      </c>
      <c r="H3760" t="s">
        <v>3403</v>
      </c>
      <c r="I3760" t="s">
        <v>32</v>
      </c>
      <c r="J3760" s="9"/>
      <c r="K3760" s="9"/>
      <c r="L3760" s="9"/>
    </row>
    <row r="3761" spans="2:12" ht="15" x14ac:dyDescent="0.25">
      <c r="B3761" t="s">
        <v>3400</v>
      </c>
      <c r="C3761" t="s">
        <v>3401</v>
      </c>
      <c r="D3761" t="str">
        <f>HYPERLINK("https://rhld.insurance.arkansas.gov/NPILookup?Npi=1235130444","1235130444")</f>
        <v>1235130444</v>
      </c>
      <c r="E3761" t="s">
        <v>3576</v>
      </c>
      <c r="F3761" t="s">
        <v>13</v>
      </c>
      <c r="G3761" s="20">
        <v>1</v>
      </c>
      <c r="H3761" t="s">
        <v>3403</v>
      </c>
      <c r="I3761" t="s">
        <v>32</v>
      </c>
      <c r="J3761" s="9"/>
      <c r="K3761" s="9"/>
      <c r="L3761" s="9"/>
    </row>
    <row r="3762" spans="2:12" ht="15" x14ac:dyDescent="0.25">
      <c r="B3762" t="s">
        <v>3400</v>
      </c>
      <c r="C3762" t="s">
        <v>3401</v>
      </c>
      <c r="D3762" t="str">
        <f>HYPERLINK("https://rhld.insurance.arkansas.gov/NPILookup?Npi=1235530478","1235530478")</f>
        <v>1235530478</v>
      </c>
      <c r="E3762" t="s">
        <v>3577</v>
      </c>
      <c r="F3762" t="s">
        <v>13</v>
      </c>
      <c r="G3762" s="20">
        <v>1</v>
      </c>
      <c r="H3762" t="s">
        <v>3403</v>
      </c>
      <c r="I3762" t="s">
        <v>32</v>
      </c>
      <c r="J3762" s="9"/>
      <c r="K3762" s="9"/>
      <c r="L3762" s="9"/>
    </row>
    <row r="3763" spans="2:12" ht="15" x14ac:dyDescent="0.25">
      <c r="B3763" t="s">
        <v>3400</v>
      </c>
      <c r="C3763" t="s">
        <v>3401</v>
      </c>
      <c r="D3763" t="str">
        <f>HYPERLINK("https://rhld.insurance.arkansas.gov/NPILookup?Npi=1235544842","1235544842")</f>
        <v>1235544842</v>
      </c>
      <c r="E3763" t="s">
        <v>3578</v>
      </c>
      <c r="F3763" t="s">
        <v>13</v>
      </c>
      <c r="G3763" s="20">
        <v>1</v>
      </c>
      <c r="H3763" t="s">
        <v>4357</v>
      </c>
      <c r="I3763" t="s">
        <v>4357</v>
      </c>
      <c r="J3763" s="9"/>
      <c r="K3763" s="9"/>
      <c r="L3763" s="9"/>
    </row>
    <row r="3764" spans="2:12" ht="15" x14ac:dyDescent="0.25">
      <c r="B3764" t="s">
        <v>3400</v>
      </c>
      <c r="C3764" t="s">
        <v>3401</v>
      </c>
      <c r="D3764" t="str">
        <f>HYPERLINK("https://rhld.insurance.arkansas.gov/NPILookup?Npi=1235687773","1235687773")</f>
        <v>1235687773</v>
      </c>
      <c r="E3764" t="s">
        <v>3579</v>
      </c>
      <c r="F3764" t="s">
        <v>13</v>
      </c>
      <c r="G3764" s="20">
        <v>1</v>
      </c>
      <c r="H3764" t="s">
        <v>3403</v>
      </c>
      <c r="I3764" t="s">
        <v>32</v>
      </c>
      <c r="J3764" s="9"/>
      <c r="K3764" s="9"/>
      <c r="L3764" s="9"/>
    </row>
    <row r="3765" spans="2:12" ht="15" x14ac:dyDescent="0.25">
      <c r="B3765" t="s">
        <v>3400</v>
      </c>
      <c r="C3765" t="s">
        <v>3401</v>
      </c>
      <c r="D3765" t="str">
        <f>HYPERLINK("https://rhld.insurance.arkansas.gov/NPILookup?Npi=1235695768","1235695768")</f>
        <v>1235695768</v>
      </c>
      <c r="E3765" t="s">
        <v>2411</v>
      </c>
      <c r="F3765" t="s">
        <v>13</v>
      </c>
      <c r="G3765" s="20">
        <v>1</v>
      </c>
      <c r="H3765" t="s">
        <v>3403</v>
      </c>
      <c r="I3765" t="s">
        <v>4357</v>
      </c>
      <c r="J3765" s="9"/>
      <c r="K3765" s="9"/>
      <c r="L3765" s="9"/>
    </row>
    <row r="3766" spans="2:12" ht="15" x14ac:dyDescent="0.25">
      <c r="B3766" t="s">
        <v>3400</v>
      </c>
      <c r="C3766" t="s">
        <v>3401</v>
      </c>
      <c r="D3766" t="str">
        <f>HYPERLINK("https://rhld.insurance.arkansas.gov/NPILookup?Npi=1235867177","1235867177")</f>
        <v>1235867177</v>
      </c>
      <c r="E3766" t="s">
        <v>3580</v>
      </c>
      <c r="F3766" t="s">
        <v>13</v>
      </c>
      <c r="G3766" s="20">
        <v>1</v>
      </c>
      <c r="H3766" t="s">
        <v>3403</v>
      </c>
      <c r="I3766" t="s">
        <v>32</v>
      </c>
      <c r="J3766" s="9"/>
      <c r="K3766" s="9"/>
      <c r="L3766" s="9"/>
    </row>
    <row r="3767" spans="2:12" ht="15" x14ac:dyDescent="0.25">
      <c r="B3767" t="s">
        <v>3400</v>
      </c>
      <c r="C3767" t="s">
        <v>3401</v>
      </c>
      <c r="D3767" t="str">
        <f>HYPERLINK("https://rhld.insurance.arkansas.gov/NPILookup?Npi=1235891417","1235891417")</f>
        <v>1235891417</v>
      </c>
      <c r="E3767" t="s">
        <v>3581</v>
      </c>
      <c r="F3767" t="s">
        <v>13</v>
      </c>
      <c r="G3767" s="20">
        <v>1</v>
      </c>
      <c r="H3767" t="s">
        <v>3403</v>
      </c>
      <c r="I3767" t="s">
        <v>32</v>
      </c>
      <c r="J3767" s="9"/>
      <c r="K3767" s="9"/>
      <c r="L3767" s="9"/>
    </row>
    <row r="3768" spans="2:12" ht="15" x14ac:dyDescent="0.25">
      <c r="B3768" t="s">
        <v>3400</v>
      </c>
      <c r="C3768" t="s">
        <v>3401</v>
      </c>
      <c r="D3768" t="str">
        <f>HYPERLINK("https://rhld.insurance.arkansas.gov/NPILookup?Npi=1235972969","1235972969")</f>
        <v>1235972969</v>
      </c>
      <c r="E3768" t="s">
        <v>2413</v>
      </c>
      <c r="F3768" t="s">
        <v>13</v>
      </c>
      <c r="G3768" s="20">
        <v>1</v>
      </c>
      <c r="H3768" t="s">
        <v>4357</v>
      </c>
      <c r="I3768" t="s">
        <v>4357</v>
      </c>
      <c r="J3768" s="9"/>
      <c r="K3768" s="9"/>
      <c r="L3768" s="9"/>
    </row>
    <row r="3769" spans="2:12" ht="15" x14ac:dyDescent="0.25">
      <c r="B3769" t="s">
        <v>3400</v>
      </c>
      <c r="C3769" t="s">
        <v>3401</v>
      </c>
      <c r="D3769" t="str">
        <f>HYPERLINK("https://rhld.insurance.arkansas.gov/NPILookup?Npi=1245053826","1245053826")</f>
        <v>1245053826</v>
      </c>
      <c r="E3769" t="s">
        <v>2414</v>
      </c>
      <c r="F3769" t="s">
        <v>13</v>
      </c>
      <c r="G3769" s="20">
        <v>1</v>
      </c>
      <c r="H3769" t="s">
        <v>4357</v>
      </c>
      <c r="I3769" t="s">
        <v>4357</v>
      </c>
      <c r="J3769" s="9"/>
      <c r="K3769" s="9"/>
      <c r="L3769" s="9"/>
    </row>
    <row r="3770" spans="2:12" ht="15" x14ac:dyDescent="0.25">
      <c r="B3770" t="s">
        <v>3400</v>
      </c>
      <c r="C3770" t="s">
        <v>3401</v>
      </c>
      <c r="D3770" t="str">
        <f>HYPERLINK("https://rhld.insurance.arkansas.gov/NPILookup?Npi=1245087923","1245087923")</f>
        <v>1245087923</v>
      </c>
      <c r="E3770" t="s">
        <v>3582</v>
      </c>
      <c r="F3770" t="s">
        <v>13</v>
      </c>
      <c r="G3770" s="20">
        <v>1</v>
      </c>
      <c r="H3770" t="s">
        <v>3403</v>
      </c>
      <c r="I3770" t="s">
        <v>4357</v>
      </c>
      <c r="J3770" s="9"/>
      <c r="K3770" s="9"/>
      <c r="L3770" s="9"/>
    </row>
    <row r="3771" spans="2:12" ht="15" x14ac:dyDescent="0.25">
      <c r="B3771" t="s">
        <v>3400</v>
      </c>
      <c r="C3771" t="s">
        <v>3401</v>
      </c>
      <c r="D3771" t="str">
        <f>HYPERLINK("https://rhld.insurance.arkansas.gov/NPILookup?Npi=1245093608","1245093608")</f>
        <v>1245093608</v>
      </c>
      <c r="E3771" t="s">
        <v>2415</v>
      </c>
      <c r="F3771" t="s">
        <v>13</v>
      </c>
      <c r="G3771" s="20">
        <v>1</v>
      </c>
      <c r="H3771" t="s">
        <v>4357</v>
      </c>
      <c r="I3771" t="s">
        <v>4357</v>
      </c>
      <c r="J3771" s="9"/>
      <c r="K3771" s="9"/>
      <c r="L3771" s="9"/>
    </row>
    <row r="3772" spans="2:12" ht="15" x14ac:dyDescent="0.25">
      <c r="B3772" t="s">
        <v>3400</v>
      </c>
      <c r="C3772" t="s">
        <v>3401</v>
      </c>
      <c r="D3772" t="str">
        <f>HYPERLINK("https://rhld.insurance.arkansas.gov/NPILookup?Npi=1245202654","1245202654")</f>
        <v>1245202654</v>
      </c>
      <c r="E3772" t="s">
        <v>3583</v>
      </c>
      <c r="F3772" t="s">
        <v>13</v>
      </c>
      <c r="G3772" s="20">
        <v>1</v>
      </c>
      <c r="H3772" t="s">
        <v>3403</v>
      </c>
      <c r="I3772" t="s">
        <v>32</v>
      </c>
      <c r="J3772" s="9"/>
      <c r="K3772" s="9"/>
      <c r="L3772" s="9"/>
    </row>
    <row r="3773" spans="2:12" ht="15" x14ac:dyDescent="0.25">
      <c r="B3773" t="s">
        <v>3400</v>
      </c>
      <c r="C3773" t="s">
        <v>3401</v>
      </c>
      <c r="D3773" t="str">
        <f>HYPERLINK("https://rhld.insurance.arkansas.gov/NPILookup?Npi=1245223866","1245223866")</f>
        <v>1245223866</v>
      </c>
      <c r="E3773" t="s">
        <v>2416</v>
      </c>
      <c r="F3773" t="s">
        <v>13</v>
      </c>
      <c r="G3773" s="20">
        <v>1</v>
      </c>
      <c r="H3773" t="s">
        <v>3403</v>
      </c>
      <c r="I3773" t="s">
        <v>4357</v>
      </c>
      <c r="J3773" s="9"/>
      <c r="K3773" s="9"/>
      <c r="L3773" s="9"/>
    </row>
    <row r="3774" spans="2:12" ht="15" x14ac:dyDescent="0.25">
      <c r="B3774" t="s">
        <v>3400</v>
      </c>
      <c r="C3774" t="s">
        <v>3401</v>
      </c>
      <c r="D3774" t="str">
        <f>HYPERLINK("https://rhld.insurance.arkansas.gov/NPILookup?Npi=1245224229","1245224229")</f>
        <v>1245224229</v>
      </c>
      <c r="E3774" t="s">
        <v>3584</v>
      </c>
      <c r="F3774" t="s">
        <v>13</v>
      </c>
      <c r="G3774" s="20">
        <v>1</v>
      </c>
      <c r="H3774" t="s">
        <v>3403</v>
      </c>
      <c r="I3774" t="s">
        <v>32</v>
      </c>
      <c r="J3774" s="9"/>
      <c r="K3774" s="9"/>
      <c r="L3774" s="9"/>
    </row>
    <row r="3775" spans="2:12" ht="15" x14ac:dyDescent="0.25">
      <c r="B3775" t="s">
        <v>3400</v>
      </c>
      <c r="C3775" t="s">
        <v>3401</v>
      </c>
      <c r="D3775" t="str">
        <f>HYPERLINK("https://rhld.insurance.arkansas.gov/NPILookup?Npi=1245234061","1245234061")</f>
        <v>1245234061</v>
      </c>
      <c r="E3775" t="s">
        <v>3585</v>
      </c>
      <c r="F3775" t="s">
        <v>13</v>
      </c>
      <c r="G3775" s="20">
        <v>1</v>
      </c>
      <c r="H3775" t="s">
        <v>3403</v>
      </c>
      <c r="I3775" t="s">
        <v>32</v>
      </c>
      <c r="J3775" s="9"/>
      <c r="K3775" s="9"/>
      <c r="L3775" s="9"/>
    </row>
    <row r="3776" spans="2:12" ht="15" x14ac:dyDescent="0.25">
      <c r="B3776" t="s">
        <v>3400</v>
      </c>
      <c r="C3776" t="s">
        <v>3401</v>
      </c>
      <c r="D3776" t="str">
        <f>HYPERLINK("https://rhld.insurance.arkansas.gov/NPILookup?Npi=1245237528","1245237528")</f>
        <v>1245237528</v>
      </c>
      <c r="E3776" t="s">
        <v>3586</v>
      </c>
      <c r="F3776" t="s">
        <v>13</v>
      </c>
      <c r="G3776" s="20">
        <v>1</v>
      </c>
      <c r="H3776" t="s">
        <v>3403</v>
      </c>
      <c r="I3776" t="s">
        <v>32</v>
      </c>
      <c r="J3776" s="9"/>
      <c r="K3776" s="9"/>
      <c r="L3776" s="9"/>
    </row>
    <row r="3777" spans="2:12" ht="15" x14ac:dyDescent="0.25">
      <c r="B3777" t="s">
        <v>3400</v>
      </c>
      <c r="C3777" t="s">
        <v>3401</v>
      </c>
      <c r="D3777" t="str">
        <f>HYPERLINK("https://rhld.insurance.arkansas.gov/NPILookup?Npi=1245387091","1245387091")</f>
        <v>1245387091</v>
      </c>
      <c r="E3777" t="s">
        <v>3587</v>
      </c>
      <c r="F3777" t="s">
        <v>13</v>
      </c>
      <c r="G3777" s="20">
        <v>1</v>
      </c>
      <c r="H3777" t="s">
        <v>3403</v>
      </c>
      <c r="I3777" t="s">
        <v>32</v>
      </c>
      <c r="J3777" s="9"/>
      <c r="K3777" s="9"/>
      <c r="L3777" s="9"/>
    </row>
    <row r="3778" spans="2:12" ht="15" x14ac:dyDescent="0.25">
      <c r="B3778" t="s">
        <v>3400</v>
      </c>
      <c r="C3778" t="s">
        <v>3401</v>
      </c>
      <c r="D3778" t="str">
        <f>HYPERLINK("https://rhld.insurance.arkansas.gov/NPILookup?Npi=1245417013","1245417013")</f>
        <v>1245417013</v>
      </c>
      <c r="E3778" t="s">
        <v>3588</v>
      </c>
      <c r="F3778" t="s">
        <v>13</v>
      </c>
      <c r="G3778" s="20">
        <v>1</v>
      </c>
      <c r="H3778" t="s">
        <v>4357</v>
      </c>
      <c r="I3778" t="s">
        <v>4357</v>
      </c>
      <c r="J3778" s="9"/>
      <c r="K3778" s="9"/>
      <c r="L3778" s="9"/>
    </row>
    <row r="3779" spans="2:12" ht="15" x14ac:dyDescent="0.25">
      <c r="B3779" t="s">
        <v>3400</v>
      </c>
      <c r="C3779" t="s">
        <v>3401</v>
      </c>
      <c r="D3779" t="str">
        <f>HYPERLINK("https://rhld.insurance.arkansas.gov/NPILookup?Npi=1245559681","1245559681")</f>
        <v>1245559681</v>
      </c>
      <c r="E3779" t="s">
        <v>3589</v>
      </c>
      <c r="F3779" t="s">
        <v>13</v>
      </c>
      <c r="G3779" s="20">
        <v>1</v>
      </c>
      <c r="H3779" t="s">
        <v>3403</v>
      </c>
      <c r="I3779" t="s">
        <v>32</v>
      </c>
      <c r="J3779" s="9"/>
      <c r="K3779" s="9"/>
      <c r="L3779" s="9"/>
    </row>
    <row r="3780" spans="2:12" ht="15" x14ac:dyDescent="0.25">
      <c r="B3780" t="s">
        <v>3400</v>
      </c>
      <c r="C3780" t="s">
        <v>3401</v>
      </c>
      <c r="D3780" t="str">
        <f>HYPERLINK("https://rhld.insurance.arkansas.gov/NPILookup?Npi=1245699024","1245699024")</f>
        <v>1245699024</v>
      </c>
      <c r="E3780" t="s">
        <v>3590</v>
      </c>
      <c r="F3780" t="s">
        <v>13</v>
      </c>
      <c r="G3780" s="20">
        <v>1</v>
      </c>
      <c r="H3780" t="s">
        <v>3403</v>
      </c>
      <c r="I3780" t="s">
        <v>32</v>
      </c>
      <c r="J3780" s="9"/>
      <c r="K3780" s="9"/>
      <c r="L3780" s="9"/>
    </row>
    <row r="3781" spans="2:12" ht="15" x14ac:dyDescent="0.25">
      <c r="B3781" t="s">
        <v>3400</v>
      </c>
      <c r="C3781" t="s">
        <v>3401</v>
      </c>
      <c r="D3781" t="str">
        <f>HYPERLINK("https://rhld.insurance.arkansas.gov/NPILookup?Npi=1245799287","1245799287")</f>
        <v>1245799287</v>
      </c>
      <c r="E3781" t="s">
        <v>2421</v>
      </c>
      <c r="F3781" t="s">
        <v>13</v>
      </c>
      <c r="G3781" s="20">
        <v>1</v>
      </c>
      <c r="H3781" t="s">
        <v>4357</v>
      </c>
      <c r="I3781" t="s">
        <v>4357</v>
      </c>
      <c r="J3781" s="9"/>
      <c r="K3781" s="9"/>
      <c r="L3781" s="9"/>
    </row>
    <row r="3782" spans="2:12" ht="15" x14ac:dyDescent="0.25">
      <c r="B3782" t="s">
        <v>3400</v>
      </c>
      <c r="C3782" t="s">
        <v>3401</v>
      </c>
      <c r="D3782" t="str">
        <f>HYPERLINK("https://rhld.insurance.arkansas.gov/NPILookup?Npi=1245908292","1245908292")</f>
        <v>1245908292</v>
      </c>
      <c r="E3782" t="s">
        <v>3591</v>
      </c>
      <c r="F3782" t="s">
        <v>13</v>
      </c>
      <c r="G3782" s="20">
        <v>1</v>
      </c>
      <c r="H3782" t="s">
        <v>3403</v>
      </c>
      <c r="I3782" t="s">
        <v>32</v>
      </c>
      <c r="J3782" s="9"/>
      <c r="K3782" s="9"/>
      <c r="L3782" s="9"/>
    </row>
    <row r="3783" spans="2:12" ht="15" x14ac:dyDescent="0.25">
      <c r="B3783" t="s">
        <v>3400</v>
      </c>
      <c r="C3783" t="s">
        <v>3401</v>
      </c>
      <c r="D3783" t="str">
        <f>HYPERLINK("https://rhld.insurance.arkansas.gov/NPILookup?Npi=1255144978","1255144978")</f>
        <v>1255144978</v>
      </c>
      <c r="E3783" t="s">
        <v>2424</v>
      </c>
      <c r="F3783" t="s">
        <v>13</v>
      </c>
      <c r="G3783" s="20">
        <v>1</v>
      </c>
      <c r="H3783" t="s">
        <v>4357</v>
      </c>
      <c r="I3783" t="s">
        <v>4357</v>
      </c>
      <c r="J3783" s="9"/>
      <c r="K3783" s="9"/>
      <c r="L3783" s="9"/>
    </row>
    <row r="3784" spans="2:12" ht="15" x14ac:dyDescent="0.25">
      <c r="B3784" t="s">
        <v>3400</v>
      </c>
      <c r="C3784" t="s">
        <v>3401</v>
      </c>
      <c r="D3784" t="str">
        <f>HYPERLINK("https://rhld.insurance.arkansas.gov/NPILookup?Npi=1255192084","1255192084")</f>
        <v>1255192084</v>
      </c>
      <c r="E3784" t="s">
        <v>2425</v>
      </c>
      <c r="F3784" t="s">
        <v>13</v>
      </c>
      <c r="G3784" s="20">
        <v>1</v>
      </c>
      <c r="H3784" t="s">
        <v>4357</v>
      </c>
      <c r="I3784" t="s">
        <v>4357</v>
      </c>
      <c r="J3784" s="9"/>
      <c r="K3784" s="9"/>
      <c r="L3784" s="9"/>
    </row>
    <row r="3785" spans="2:12" ht="15" x14ac:dyDescent="0.25">
      <c r="B3785" t="s">
        <v>3400</v>
      </c>
      <c r="C3785" t="s">
        <v>3401</v>
      </c>
      <c r="D3785" t="str">
        <f>HYPERLINK("https://rhld.insurance.arkansas.gov/NPILookup?Npi=1255411989","1255411989")</f>
        <v>1255411989</v>
      </c>
      <c r="E3785" t="s">
        <v>3592</v>
      </c>
      <c r="F3785" t="s">
        <v>13</v>
      </c>
      <c r="G3785" s="20">
        <v>1</v>
      </c>
      <c r="H3785" t="s">
        <v>3403</v>
      </c>
      <c r="I3785" t="s">
        <v>4357</v>
      </c>
      <c r="J3785" s="9"/>
      <c r="K3785" s="9"/>
      <c r="L3785" s="9"/>
    </row>
    <row r="3786" spans="2:12" ht="15" x14ac:dyDescent="0.25">
      <c r="B3786" t="s">
        <v>3400</v>
      </c>
      <c r="C3786" t="s">
        <v>3401</v>
      </c>
      <c r="D3786" t="str">
        <f>HYPERLINK("https://rhld.insurance.arkansas.gov/NPILookup?Npi=1255657060","1255657060")</f>
        <v>1255657060</v>
      </c>
      <c r="E3786" t="s">
        <v>2431</v>
      </c>
      <c r="F3786" t="s">
        <v>13</v>
      </c>
      <c r="G3786" s="20">
        <v>1</v>
      </c>
      <c r="H3786" t="s">
        <v>3403</v>
      </c>
      <c r="I3786" t="s">
        <v>4357</v>
      </c>
      <c r="J3786" s="9"/>
      <c r="K3786" s="9"/>
      <c r="L3786" s="9"/>
    </row>
    <row r="3787" spans="2:12" ht="15" x14ac:dyDescent="0.25">
      <c r="B3787" t="s">
        <v>3400</v>
      </c>
      <c r="C3787" t="s">
        <v>3401</v>
      </c>
      <c r="D3787" t="str">
        <f>HYPERLINK("https://rhld.insurance.arkansas.gov/NPILookup?Npi=1255688016","1255688016")</f>
        <v>1255688016</v>
      </c>
      <c r="E3787" t="s">
        <v>3593</v>
      </c>
      <c r="F3787" t="s">
        <v>13</v>
      </c>
      <c r="G3787" s="20">
        <v>1</v>
      </c>
      <c r="H3787" t="s">
        <v>3403</v>
      </c>
      <c r="I3787" t="s">
        <v>32</v>
      </c>
      <c r="J3787" s="9"/>
      <c r="K3787" s="9"/>
      <c r="L3787" s="9"/>
    </row>
    <row r="3788" spans="2:12" ht="15" x14ac:dyDescent="0.25">
      <c r="B3788" t="s">
        <v>3400</v>
      </c>
      <c r="C3788" t="s">
        <v>3401</v>
      </c>
      <c r="D3788" t="str">
        <f>HYPERLINK("https://rhld.insurance.arkansas.gov/NPILookup?Npi=1255782843","1255782843")</f>
        <v>1255782843</v>
      </c>
      <c r="E3788" t="s">
        <v>2434</v>
      </c>
      <c r="F3788" t="s">
        <v>13</v>
      </c>
      <c r="G3788" s="20">
        <v>1</v>
      </c>
      <c r="H3788" t="s">
        <v>3403</v>
      </c>
      <c r="I3788" t="s">
        <v>4357</v>
      </c>
      <c r="J3788" s="9"/>
      <c r="K3788" s="9"/>
      <c r="L3788" s="9"/>
    </row>
    <row r="3789" spans="2:12" ht="15" x14ac:dyDescent="0.25">
      <c r="B3789" t="s">
        <v>3400</v>
      </c>
      <c r="C3789" t="s">
        <v>3401</v>
      </c>
      <c r="D3789" t="str">
        <f>HYPERLINK("https://rhld.insurance.arkansas.gov/NPILookup?Npi=1255813879","1255813879")</f>
        <v>1255813879</v>
      </c>
      <c r="E3789" t="s">
        <v>2436</v>
      </c>
      <c r="F3789" t="s">
        <v>13</v>
      </c>
      <c r="G3789" s="20">
        <v>1</v>
      </c>
      <c r="H3789" t="s">
        <v>3403</v>
      </c>
      <c r="I3789" t="s">
        <v>32</v>
      </c>
      <c r="J3789" s="9"/>
      <c r="K3789" s="9"/>
      <c r="L3789" s="9"/>
    </row>
    <row r="3790" spans="2:12" ht="15" x14ac:dyDescent="0.25">
      <c r="B3790" t="s">
        <v>3400</v>
      </c>
      <c r="C3790" t="s">
        <v>3401</v>
      </c>
      <c r="D3790" t="str">
        <f>HYPERLINK("https://rhld.insurance.arkansas.gov/NPILookup?Npi=1255837894","1255837894")</f>
        <v>1255837894</v>
      </c>
      <c r="E3790" t="s">
        <v>3594</v>
      </c>
      <c r="F3790" t="s">
        <v>13</v>
      </c>
      <c r="G3790" s="20">
        <v>1</v>
      </c>
      <c r="H3790" t="s">
        <v>3403</v>
      </c>
      <c r="I3790" t="s">
        <v>4357</v>
      </c>
      <c r="J3790" s="9"/>
      <c r="K3790" s="9"/>
      <c r="L3790" s="9"/>
    </row>
    <row r="3791" spans="2:12" ht="15" x14ac:dyDescent="0.25">
      <c r="B3791" t="s">
        <v>3400</v>
      </c>
      <c r="C3791" t="s">
        <v>3401</v>
      </c>
      <c r="D3791" t="str">
        <f>HYPERLINK("https://rhld.insurance.arkansas.gov/NPILookup?Npi=1255969960","1255969960")</f>
        <v>1255969960</v>
      </c>
      <c r="E3791" t="s">
        <v>3595</v>
      </c>
      <c r="F3791" t="s">
        <v>13</v>
      </c>
      <c r="G3791" s="20">
        <v>1</v>
      </c>
      <c r="H3791" t="s">
        <v>4357</v>
      </c>
      <c r="I3791" t="s">
        <v>4357</v>
      </c>
      <c r="J3791" s="9"/>
      <c r="K3791" s="9"/>
      <c r="L3791" s="9"/>
    </row>
    <row r="3792" spans="2:12" ht="15" x14ac:dyDescent="0.25">
      <c r="B3792" t="s">
        <v>3400</v>
      </c>
      <c r="C3792" t="s">
        <v>3401</v>
      </c>
      <c r="D3792" t="str">
        <f>HYPERLINK("https://rhld.insurance.arkansas.gov/NPILookup?Npi=1265038848","1265038848")</f>
        <v>1265038848</v>
      </c>
      <c r="E3792" t="s">
        <v>3596</v>
      </c>
      <c r="F3792" t="s">
        <v>13</v>
      </c>
      <c r="G3792" s="20">
        <v>1</v>
      </c>
      <c r="H3792" t="s">
        <v>3403</v>
      </c>
      <c r="I3792" t="s">
        <v>32</v>
      </c>
      <c r="J3792" s="9"/>
      <c r="K3792" s="9"/>
      <c r="L3792" s="9"/>
    </row>
    <row r="3793" spans="2:12" ht="15" x14ac:dyDescent="0.25">
      <c r="B3793" t="s">
        <v>3400</v>
      </c>
      <c r="C3793" t="s">
        <v>3401</v>
      </c>
      <c r="D3793" t="str">
        <f>HYPERLINK("https://rhld.insurance.arkansas.gov/NPILookup?Npi=1265058804","1265058804")</f>
        <v>1265058804</v>
      </c>
      <c r="E3793" t="s">
        <v>2061</v>
      </c>
      <c r="F3793" t="s">
        <v>13</v>
      </c>
      <c r="G3793" s="20">
        <v>1</v>
      </c>
      <c r="H3793" t="s">
        <v>4357</v>
      </c>
      <c r="I3793" t="s">
        <v>32</v>
      </c>
      <c r="J3793" s="9"/>
      <c r="K3793" s="9"/>
      <c r="L3793" s="9"/>
    </row>
    <row r="3794" spans="2:12" ht="15" x14ac:dyDescent="0.25">
      <c r="B3794" t="s">
        <v>3400</v>
      </c>
      <c r="C3794" t="s">
        <v>3401</v>
      </c>
      <c r="D3794" t="str">
        <f>HYPERLINK("https://rhld.insurance.arkansas.gov/NPILookup?Npi=1265060479","1265060479")</f>
        <v>1265060479</v>
      </c>
      <c r="E3794" t="s">
        <v>3597</v>
      </c>
      <c r="F3794" t="s">
        <v>13</v>
      </c>
      <c r="G3794" s="20">
        <v>1</v>
      </c>
      <c r="H3794" t="s">
        <v>3403</v>
      </c>
      <c r="I3794" t="s">
        <v>32</v>
      </c>
      <c r="J3794" s="9"/>
      <c r="K3794" s="9"/>
      <c r="L3794" s="9"/>
    </row>
    <row r="3795" spans="2:12" ht="15" x14ac:dyDescent="0.25">
      <c r="B3795" t="s">
        <v>3400</v>
      </c>
      <c r="C3795" t="s">
        <v>3401</v>
      </c>
      <c r="D3795" t="str">
        <f>HYPERLINK("https://rhld.insurance.arkansas.gov/NPILookup?Npi=1265168702","1265168702")</f>
        <v>1265168702</v>
      </c>
      <c r="E3795" t="s">
        <v>2441</v>
      </c>
      <c r="F3795" t="s">
        <v>13</v>
      </c>
      <c r="G3795" s="20">
        <v>1</v>
      </c>
      <c r="H3795" t="s">
        <v>4357</v>
      </c>
      <c r="I3795" t="s">
        <v>4357</v>
      </c>
      <c r="J3795" s="9"/>
      <c r="K3795" s="9"/>
      <c r="L3795" s="9"/>
    </row>
    <row r="3796" spans="2:12" ht="15" x14ac:dyDescent="0.25">
      <c r="B3796" t="s">
        <v>3400</v>
      </c>
      <c r="C3796" t="s">
        <v>3401</v>
      </c>
      <c r="D3796" t="str">
        <f>HYPERLINK("https://rhld.insurance.arkansas.gov/NPILookup?Npi=1265255202","1265255202")</f>
        <v>1265255202</v>
      </c>
      <c r="E3796" t="s">
        <v>2442</v>
      </c>
      <c r="F3796" t="s">
        <v>13</v>
      </c>
      <c r="G3796" s="20">
        <v>1</v>
      </c>
      <c r="H3796" t="s">
        <v>4357</v>
      </c>
      <c r="I3796" t="s">
        <v>4357</v>
      </c>
      <c r="J3796" s="9"/>
      <c r="K3796" s="9"/>
      <c r="L3796" s="9"/>
    </row>
    <row r="3797" spans="2:12" ht="15" x14ac:dyDescent="0.25">
      <c r="B3797" t="s">
        <v>3400</v>
      </c>
      <c r="C3797" t="s">
        <v>3401</v>
      </c>
      <c r="D3797" t="str">
        <f>HYPERLINK("https://rhld.insurance.arkansas.gov/NPILookup?Npi=1265278923","1265278923")</f>
        <v>1265278923</v>
      </c>
      <c r="E3797" t="s">
        <v>2443</v>
      </c>
      <c r="F3797" t="s">
        <v>13</v>
      </c>
      <c r="G3797" s="20">
        <v>1</v>
      </c>
      <c r="H3797" t="s">
        <v>4357</v>
      </c>
      <c r="I3797" t="s">
        <v>4357</v>
      </c>
      <c r="J3797" s="9"/>
      <c r="K3797" s="9"/>
      <c r="L3797" s="9"/>
    </row>
    <row r="3798" spans="2:12" ht="15" x14ac:dyDescent="0.25">
      <c r="B3798" t="s">
        <v>3400</v>
      </c>
      <c r="C3798" t="s">
        <v>3401</v>
      </c>
      <c r="D3798" t="str">
        <f>HYPERLINK("https://rhld.insurance.arkansas.gov/NPILookup?Npi=1265407936","1265407936")</f>
        <v>1265407936</v>
      </c>
      <c r="E3798" t="s">
        <v>3598</v>
      </c>
      <c r="F3798" t="s">
        <v>13</v>
      </c>
      <c r="G3798" s="20">
        <v>1</v>
      </c>
      <c r="H3798" t="s">
        <v>3403</v>
      </c>
      <c r="I3798" t="s">
        <v>4357</v>
      </c>
      <c r="J3798" s="9"/>
      <c r="K3798" s="9"/>
      <c r="L3798" s="9"/>
    </row>
    <row r="3799" spans="2:12" ht="15" x14ac:dyDescent="0.25">
      <c r="B3799" t="s">
        <v>3400</v>
      </c>
      <c r="C3799" t="s">
        <v>3401</v>
      </c>
      <c r="D3799" t="str">
        <f>HYPERLINK("https://rhld.insurance.arkansas.gov/NPILookup?Npi=1265450654","1265450654")</f>
        <v>1265450654</v>
      </c>
      <c r="E3799" t="s">
        <v>3599</v>
      </c>
      <c r="F3799" t="s">
        <v>13</v>
      </c>
      <c r="G3799" s="20">
        <v>1</v>
      </c>
      <c r="H3799" t="s">
        <v>3403</v>
      </c>
      <c r="I3799" t="s">
        <v>32</v>
      </c>
      <c r="J3799" s="9"/>
      <c r="K3799" s="9"/>
      <c r="L3799" s="9"/>
    </row>
    <row r="3800" spans="2:12" ht="15" x14ac:dyDescent="0.25">
      <c r="B3800" t="s">
        <v>3400</v>
      </c>
      <c r="C3800" t="s">
        <v>3401</v>
      </c>
      <c r="D3800" t="str">
        <f>HYPERLINK("https://rhld.insurance.arkansas.gov/NPILookup?Npi=1265514368","1265514368")</f>
        <v>1265514368</v>
      </c>
      <c r="E3800" t="s">
        <v>3600</v>
      </c>
      <c r="F3800" t="s">
        <v>13</v>
      </c>
      <c r="G3800" s="20">
        <v>1</v>
      </c>
      <c r="H3800" t="s">
        <v>3403</v>
      </c>
      <c r="I3800" t="s">
        <v>32</v>
      </c>
      <c r="J3800" s="9"/>
      <c r="K3800" s="9"/>
      <c r="L3800" s="9"/>
    </row>
    <row r="3801" spans="2:12" ht="15" x14ac:dyDescent="0.25">
      <c r="B3801" t="s">
        <v>3400</v>
      </c>
      <c r="C3801" t="s">
        <v>3401</v>
      </c>
      <c r="D3801" t="str">
        <f>HYPERLINK("https://rhld.insurance.arkansas.gov/NPILookup?Npi=1265545875","1265545875")</f>
        <v>1265545875</v>
      </c>
      <c r="E3801" t="s">
        <v>2446</v>
      </c>
      <c r="F3801" t="s">
        <v>13</v>
      </c>
      <c r="G3801" s="20">
        <v>1</v>
      </c>
      <c r="H3801" t="s">
        <v>3403</v>
      </c>
      <c r="I3801" t="s">
        <v>4357</v>
      </c>
      <c r="J3801" s="9"/>
      <c r="K3801" s="9"/>
      <c r="L3801" s="9"/>
    </row>
    <row r="3802" spans="2:12" ht="15" x14ac:dyDescent="0.25">
      <c r="B3802" t="s">
        <v>3400</v>
      </c>
      <c r="C3802" t="s">
        <v>3401</v>
      </c>
      <c r="D3802" t="str">
        <f>HYPERLINK("https://rhld.insurance.arkansas.gov/NPILookup?Npi=1265662092","1265662092")</f>
        <v>1265662092</v>
      </c>
      <c r="E3802" t="s">
        <v>2447</v>
      </c>
      <c r="F3802" t="s">
        <v>13</v>
      </c>
      <c r="G3802" s="20">
        <v>1</v>
      </c>
      <c r="H3802" t="s">
        <v>3403</v>
      </c>
      <c r="I3802" t="s">
        <v>4357</v>
      </c>
      <c r="J3802" s="9"/>
      <c r="K3802" s="9"/>
      <c r="L3802" s="9"/>
    </row>
    <row r="3803" spans="2:12" ht="15" x14ac:dyDescent="0.25">
      <c r="B3803" t="s">
        <v>3400</v>
      </c>
      <c r="C3803" t="s">
        <v>3401</v>
      </c>
      <c r="D3803" t="str">
        <f>HYPERLINK("https://rhld.insurance.arkansas.gov/NPILookup?Npi=1265782601","1265782601")</f>
        <v>1265782601</v>
      </c>
      <c r="E3803" t="s">
        <v>1628</v>
      </c>
      <c r="F3803" t="s">
        <v>13</v>
      </c>
      <c r="G3803" s="20">
        <v>1</v>
      </c>
      <c r="H3803" t="s">
        <v>4357</v>
      </c>
      <c r="I3803" t="s">
        <v>4357</v>
      </c>
      <c r="J3803" s="9"/>
      <c r="K3803" s="9"/>
      <c r="L3803" s="9"/>
    </row>
    <row r="3804" spans="2:12" ht="15" x14ac:dyDescent="0.25">
      <c r="B3804" t="s">
        <v>3400</v>
      </c>
      <c r="C3804" t="s">
        <v>3401</v>
      </c>
      <c r="D3804" t="str">
        <f>HYPERLINK("https://rhld.insurance.arkansas.gov/NPILookup?Npi=1265822035","1265822035")</f>
        <v>1265822035</v>
      </c>
      <c r="E3804" t="s">
        <v>2449</v>
      </c>
      <c r="F3804" t="s">
        <v>13</v>
      </c>
      <c r="G3804" s="20">
        <v>1</v>
      </c>
      <c r="H3804" t="s">
        <v>4357</v>
      </c>
      <c r="I3804" t="s">
        <v>4357</v>
      </c>
      <c r="J3804" s="9"/>
      <c r="K3804" s="9"/>
      <c r="L3804" s="9"/>
    </row>
    <row r="3805" spans="2:12" ht="15" x14ac:dyDescent="0.25">
      <c r="B3805" t="s">
        <v>3400</v>
      </c>
      <c r="C3805" t="s">
        <v>3401</v>
      </c>
      <c r="D3805" t="str">
        <f>HYPERLINK("https://rhld.insurance.arkansas.gov/NPILookup?Npi=1265826093","1265826093")</f>
        <v>1265826093</v>
      </c>
      <c r="E3805" t="s">
        <v>2450</v>
      </c>
      <c r="F3805" t="s">
        <v>13</v>
      </c>
      <c r="G3805" s="20">
        <v>1</v>
      </c>
      <c r="H3805" t="s">
        <v>4357</v>
      </c>
      <c r="I3805" t="s">
        <v>4357</v>
      </c>
      <c r="J3805" s="9"/>
      <c r="K3805" s="9"/>
      <c r="L3805" s="9"/>
    </row>
    <row r="3806" spans="2:12" ht="15" x14ac:dyDescent="0.25">
      <c r="B3806" t="s">
        <v>3400</v>
      </c>
      <c r="C3806" t="s">
        <v>3401</v>
      </c>
      <c r="D3806" t="str">
        <f>HYPERLINK("https://rhld.insurance.arkansas.gov/NPILookup?Npi=1265895981","1265895981")</f>
        <v>1265895981</v>
      </c>
      <c r="E3806" t="s">
        <v>3601</v>
      </c>
      <c r="F3806" t="s">
        <v>12</v>
      </c>
      <c r="G3806" s="20">
        <v>1</v>
      </c>
      <c r="H3806" t="s">
        <v>4338</v>
      </c>
      <c r="I3806" t="s">
        <v>32</v>
      </c>
      <c r="J3806" s="9"/>
      <c r="K3806" s="9"/>
      <c r="L3806" s="9"/>
    </row>
    <row r="3807" spans="2:12" ht="15" x14ac:dyDescent="0.25">
      <c r="B3807" t="s">
        <v>3400</v>
      </c>
      <c r="C3807" t="s">
        <v>3401</v>
      </c>
      <c r="D3807" t="str">
        <f>HYPERLINK("https://rhld.insurance.arkansas.gov/NPILookup?Npi=1265925358","1265925358")</f>
        <v>1265925358</v>
      </c>
      <c r="E3807" t="s">
        <v>2452</v>
      </c>
      <c r="F3807" t="s">
        <v>13</v>
      </c>
      <c r="G3807" s="20">
        <v>1</v>
      </c>
      <c r="H3807" t="s">
        <v>4357</v>
      </c>
      <c r="I3807" t="s">
        <v>4357</v>
      </c>
      <c r="J3807" s="9"/>
      <c r="K3807" s="9"/>
      <c r="L3807" s="9"/>
    </row>
    <row r="3808" spans="2:12" ht="15" x14ac:dyDescent="0.25">
      <c r="B3808" t="s">
        <v>3400</v>
      </c>
      <c r="C3808" t="s">
        <v>3401</v>
      </c>
      <c r="D3808" t="str">
        <f>HYPERLINK("https://rhld.insurance.arkansas.gov/NPILookup?Npi=1275041923","1275041923")</f>
        <v>1275041923</v>
      </c>
      <c r="E3808" t="s">
        <v>3602</v>
      </c>
      <c r="F3808" t="s">
        <v>13</v>
      </c>
      <c r="G3808" s="20">
        <v>1</v>
      </c>
      <c r="H3808" t="s">
        <v>3403</v>
      </c>
      <c r="I3808" t="s">
        <v>32</v>
      </c>
      <c r="J3808" s="9"/>
      <c r="K3808" s="9"/>
      <c r="L3808" s="9"/>
    </row>
    <row r="3809" spans="2:12" ht="15" x14ac:dyDescent="0.25">
      <c r="B3809" t="s">
        <v>3400</v>
      </c>
      <c r="C3809" t="s">
        <v>3401</v>
      </c>
      <c r="D3809" t="str">
        <f>HYPERLINK("https://rhld.insurance.arkansas.gov/NPILookup?Npi=1275086902","1275086902")</f>
        <v>1275086902</v>
      </c>
      <c r="E3809" t="s">
        <v>2453</v>
      </c>
      <c r="F3809" t="s">
        <v>13</v>
      </c>
      <c r="G3809" s="20">
        <v>1</v>
      </c>
      <c r="H3809" t="s">
        <v>3403</v>
      </c>
      <c r="I3809" t="s">
        <v>4357</v>
      </c>
      <c r="J3809" s="9"/>
      <c r="K3809" s="9"/>
      <c r="L3809" s="9"/>
    </row>
    <row r="3810" spans="2:12" ht="15" x14ac:dyDescent="0.25">
      <c r="B3810" t="s">
        <v>3400</v>
      </c>
      <c r="C3810" t="s">
        <v>3401</v>
      </c>
      <c r="D3810" t="str">
        <f>HYPERLINK("https://rhld.insurance.arkansas.gov/NPILookup?Npi=1275624868","1275624868")</f>
        <v>1275624868</v>
      </c>
      <c r="E3810" t="s">
        <v>2457</v>
      </c>
      <c r="F3810" t="s">
        <v>13</v>
      </c>
      <c r="G3810" s="20">
        <v>1</v>
      </c>
      <c r="H3810" t="s">
        <v>3403</v>
      </c>
      <c r="I3810" t="s">
        <v>4357</v>
      </c>
      <c r="J3810" s="9"/>
      <c r="K3810" s="9"/>
      <c r="L3810" s="9"/>
    </row>
    <row r="3811" spans="2:12" ht="15" x14ac:dyDescent="0.25">
      <c r="B3811" t="s">
        <v>3400</v>
      </c>
      <c r="C3811" t="s">
        <v>3401</v>
      </c>
      <c r="D3811" t="str">
        <f>HYPERLINK("https://rhld.insurance.arkansas.gov/NPILookup?Npi=1275628349","1275628349")</f>
        <v>1275628349</v>
      </c>
      <c r="E3811" t="s">
        <v>2458</v>
      </c>
      <c r="F3811" t="s">
        <v>13</v>
      </c>
      <c r="G3811" s="20">
        <v>1</v>
      </c>
      <c r="H3811" t="s">
        <v>3403</v>
      </c>
      <c r="I3811" t="s">
        <v>4357</v>
      </c>
      <c r="J3811" s="9"/>
      <c r="K3811" s="9"/>
      <c r="L3811" s="9"/>
    </row>
    <row r="3812" spans="2:12" ht="15" x14ac:dyDescent="0.25">
      <c r="B3812" t="s">
        <v>3400</v>
      </c>
      <c r="C3812" t="s">
        <v>3401</v>
      </c>
      <c r="D3812" t="str">
        <f>HYPERLINK("https://rhld.insurance.arkansas.gov/NPILookup?Npi=1275780736","1275780736")</f>
        <v>1275780736</v>
      </c>
      <c r="E3812" t="s">
        <v>3603</v>
      </c>
      <c r="F3812" t="s">
        <v>13</v>
      </c>
      <c r="G3812" s="20">
        <v>1</v>
      </c>
      <c r="H3812" t="s">
        <v>3403</v>
      </c>
      <c r="I3812" t="s">
        <v>32</v>
      </c>
      <c r="J3812" s="9"/>
      <c r="K3812" s="9"/>
      <c r="L3812" s="9"/>
    </row>
    <row r="3813" spans="2:12" ht="15" x14ac:dyDescent="0.25">
      <c r="B3813" t="s">
        <v>3400</v>
      </c>
      <c r="C3813" t="s">
        <v>3401</v>
      </c>
      <c r="D3813" t="str">
        <f>HYPERLINK("https://rhld.insurance.arkansas.gov/NPILookup?Npi=1275868598","1275868598")</f>
        <v>1275868598</v>
      </c>
      <c r="E3813" t="s">
        <v>3604</v>
      </c>
      <c r="F3813" t="s">
        <v>13</v>
      </c>
      <c r="G3813" s="20">
        <v>1</v>
      </c>
      <c r="H3813" t="s">
        <v>87</v>
      </c>
      <c r="I3813" t="s">
        <v>4357</v>
      </c>
      <c r="J3813" s="9"/>
      <c r="K3813" s="9"/>
      <c r="L3813" s="9"/>
    </row>
    <row r="3814" spans="2:12" ht="15" x14ac:dyDescent="0.25">
      <c r="B3814" t="s">
        <v>3400</v>
      </c>
      <c r="C3814" t="s">
        <v>3401</v>
      </c>
      <c r="D3814" t="str">
        <f>HYPERLINK("https://rhld.insurance.arkansas.gov/NPILookup?Npi=1275936163","1275936163")</f>
        <v>1275936163</v>
      </c>
      <c r="E3814" t="s">
        <v>2462</v>
      </c>
      <c r="F3814" t="s">
        <v>13</v>
      </c>
      <c r="G3814" s="20">
        <v>1</v>
      </c>
      <c r="H3814" t="s">
        <v>3403</v>
      </c>
      <c r="I3814" t="s">
        <v>4357</v>
      </c>
      <c r="J3814" s="9"/>
      <c r="K3814" s="9"/>
      <c r="L3814" s="9"/>
    </row>
    <row r="3815" spans="2:12" ht="15" x14ac:dyDescent="0.25">
      <c r="B3815" t="s">
        <v>3400</v>
      </c>
      <c r="C3815" t="s">
        <v>3401</v>
      </c>
      <c r="D3815" t="str">
        <f>HYPERLINK("https://rhld.insurance.arkansas.gov/NPILookup?Npi=1285019380","1285019380")</f>
        <v>1285019380</v>
      </c>
      <c r="E3815" t="s">
        <v>2465</v>
      </c>
      <c r="F3815" t="s">
        <v>13</v>
      </c>
      <c r="G3815" s="20">
        <v>1</v>
      </c>
      <c r="H3815" t="s">
        <v>3403</v>
      </c>
      <c r="I3815" t="s">
        <v>4357</v>
      </c>
      <c r="J3815" s="9"/>
      <c r="K3815" s="9"/>
      <c r="L3815" s="9"/>
    </row>
    <row r="3816" spans="2:12" ht="15" x14ac:dyDescent="0.25">
      <c r="B3816" t="s">
        <v>3400</v>
      </c>
      <c r="C3816" t="s">
        <v>3401</v>
      </c>
      <c r="D3816" t="str">
        <f>HYPERLINK("https://rhld.insurance.arkansas.gov/NPILookup?Npi=1285025262","1285025262")</f>
        <v>1285025262</v>
      </c>
      <c r="E3816" t="s">
        <v>2466</v>
      </c>
      <c r="F3816" t="s">
        <v>13</v>
      </c>
      <c r="G3816" s="20">
        <v>1</v>
      </c>
      <c r="H3816" t="s">
        <v>3403</v>
      </c>
      <c r="I3816" t="s">
        <v>32</v>
      </c>
      <c r="J3816" s="9"/>
      <c r="K3816" s="9"/>
      <c r="L3816" s="9"/>
    </row>
    <row r="3817" spans="2:12" ht="15" x14ac:dyDescent="0.25">
      <c r="B3817" t="s">
        <v>3400</v>
      </c>
      <c r="C3817" t="s">
        <v>3401</v>
      </c>
      <c r="D3817" t="str">
        <f>HYPERLINK("https://rhld.insurance.arkansas.gov/NPILookup?Npi=1285099440","1285099440")</f>
        <v>1285099440</v>
      </c>
      <c r="E3817" t="s">
        <v>2467</v>
      </c>
      <c r="F3817" t="s">
        <v>13</v>
      </c>
      <c r="G3817" s="20">
        <v>1</v>
      </c>
      <c r="H3817" t="s">
        <v>4357</v>
      </c>
      <c r="I3817" t="s">
        <v>4357</v>
      </c>
      <c r="J3817" s="9"/>
      <c r="K3817" s="9"/>
      <c r="L3817" s="9"/>
    </row>
    <row r="3818" spans="2:12" ht="15" x14ac:dyDescent="0.25">
      <c r="B3818" t="s">
        <v>3400</v>
      </c>
      <c r="C3818" t="s">
        <v>3401</v>
      </c>
      <c r="D3818" t="str">
        <f>HYPERLINK("https://rhld.insurance.arkansas.gov/NPILookup?Npi=1285171876","1285171876")</f>
        <v>1285171876</v>
      </c>
      <c r="E3818" t="s">
        <v>1633</v>
      </c>
      <c r="F3818" t="s">
        <v>13</v>
      </c>
      <c r="G3818" s="20">
        <v>1</v>
      </c>
      <c r="H3818" t="s">
        <v>3403</v>
      </c>
      <c r="I3818" t="s">
        <v>32</v>
      </c>
      <c r="J3818" s="9"/>
      <c r="K3818" s="9"/>
      <c r="L3818" s="9"/>
    </row>
    <row r="3819" spans="2:12" ht="15" x14ac:dyDescent="0.25">
      <c r="B3819" t="s">
        <v>3400</v>
      </c>
      <c r="C3819" t="s">
        <v>3401</v>
      </c>
      <c r="D3819" t="str">
        <f>HYPERLINK("https://rhld.insurance.arkansas.gov/NPILookup?Npi=1285214346","1285214346")</f>
        <v>1285214346</v>
      </c>
      <c r="E3819" t="s">
        <v>524</v>
      </c>
      <c r="F3819" t="s">
        <v>13</v>
      </c>
      <c r="G3819" s="20">
        <v>1</v>
      </c>
      <c r="H3819" t="s">
        <v>4357</v>
      </c>
      <c r="I3819" t="s">
        <v>4357</v>
      </c>
      <c r="J3819" s="9"/>
      <c r="K3819" s="9"/>
      <c r="L3819" s="9"/>
    </row>
    <row r="3820" spans="2:12" ht="15" x14ac:dyDescent="0.25">
      <c r="B3820" t="s">
        <v>3400</v>
      </c>
      <c r="C3820" t="s">
        <v>3401</v>
      </c>
      <c r="D3820" t="str">
        <f>HYPERLINK("https://rhld.insurance.arkansas.gov/NPILookup?Npi=1285235937","1285235937")</f>
        <v>1285235937</v>
      </c>
      <c r="E3820" t="s">
        <v>2469</v>
      </c>
      <c r="F3820" t="s">
        <v>13</v>
      </c>
      <c r="G3820" s="20">
        <v>1</v>
      </c>
      <c r="H3820" t="s">
        <v>3403</v>
      </c>
      <c r="I3820" t="s">
        <v>32</v>
      </c>
      <c r="J3820" s="9"/>
      <c r="K3820" s="9"/>
      <c r="L3820" s="9"/>
    </row>
    <row r="3821" spans="2:12" ht="15" x14ac:dyDescent="0.25">
      <c r="B3821" t="s">
        <v>3400</v>
      </c>
      <c r="C3821" t="s">
        <v>3401</v>
      </c>
      <c r="D3821" t="str">
        <f>HYPERLINK("https://rhld.insurance.arkansas.gov/NPILookup?Npi=1285697839","1285697839")</f>
        <v>1285697839</v>
      </c>
      <c r="E3821" t="s">
        <v>3605</v>
      </c>
      <c r="F3821" t="s">
        <v>13</v>
      </c>
      <c r="G3821" s="20">
        <v>1</v>
      </c>
      <c r="H3821" t="s">
        <v>3403</v>
      </c>
      <c r="I3821" t="s">
        <v>32</v>
      </c>
      <c r="J3821" s="9"/>
      <c r="K3821" s="9"/>
      <c r="L3821" s="9"/>
    </row>
    <row r="3822" spans="2:12" ht="15" x14ac:dyDescent="0.25">
      <c r="B3822" t="s">
        <v>3400</v>
      </c>
      <c r="C3822" t="s">
        <v>3401</v>
      </c>
      <c r="D3822" t="str">
        <f>HYPERLINK("https://rhld.insurance.arkansas.gov/NPILookup?Npi=1285780809","1285780809")</f>
        <v>1285780809</v>
      </c>
      <c r="E3822" t="s">
        <v>3606</v>
      </c>
      <c r="F3822" t="s">
        <v>13</v>
      </c>
      <c r="G3822" s="20">
        <v>1</v>
      </c>
      <c r="H3822" t="s">
        <v>3403</v>
      </c>
      <c r="I3822" t="s">
        <v>32</v>
      </c>
      <c r="J3822" s="9"/>
      <c r="K3822" s="9"/>
      <c r="L3822" s="9"/>
    </row>
    <row r="3823" spans="2:12" ht="15" x14ac:dyDescent="0.25">
      <c r="B3823" t="s">
        <v>3400</v>
      </c>
      <c r="C3823" t="s">
        <v>3401</v>
      </c>
      <c r="D3823" t="str">
        <f>HYPERLINK("https://rhld.insurance.arkansas.gov/NPILookup?Npi=1285805358","1285805358")</f>
        <v>1285805358</v>
      </c>
      <c r="E3823" t="s">
        <v>2473</v>
      </c>
      <c r="F3823" t="s">
        <v>13</v>
      </c>
      <c r="G3823" s="20">
        <v>1</v>
      </c>
      <c r="H3823" t="s">
        <v>3403</v>
      </c>
      <c r="I3823" t="s">
        <v>32</v>
      </c>
      <c r="J3823" s="9"/>
      <c r="K3823" s="9"/>
      <c r="L3823" s="9"/>
    </row>
    <row r="3824" spans="2:12" ht="15" x14ac:dyDescent="0.25">
      <c r="B3824" t="s">
        <v>3400</v>
      </c>
      <c r="C3824" t="s">
        <v>3401</v>
      </c>
      <c r="D3824" t="str">
        <f>HYPERLINK("https://rhld.insurance.arkansas.gov/NPILookup?Npi=1295115236","1295115236")</f>
        <v>1295115236</v>
      </c>
      <c r="E3824" t="s">
        <v>2479</v>
      </c>
      <c r="F3824" t="s">
        <v>13</v>
      </c>
      <c r="G3824" s="20">
        <v>1</v>
      </c>
      <c r="H3824" t="s">
        <v>3403</v>
      </c>
      <c r="I3824" t="s">
        <v>4357</v>
      </c>
      <c r="J3824" s="9"/>
      <c r="K3824" s="9"/>
      <c r="L3824" s="9"/>
    </row>
    <row r="3825" spans="2:12" ht="15" x14ac:dyDescent="0.25">
      <c r="B3825" t="s">
        <v>3400</v>
      </c>
      <c r="C3825" t="s">
        <v>3401</v>
      </c>
      <c r="D3825" t="str">
        <f>HYPERLINK("https://rhld.insurance.arkansas.gov/NPILookup?Npi=1295198836","1295198836")</f>
        <v>1295198836</v>
      </c>
      <c r="E3825" t="s">
        <v>3607</v>
      </c>
      <c r="F3825" t="s">
        <v>12</v>
      </c>
      <c r="G3825" s="20">
        <v>1</v>
      </c>
      <c r="H3825" t="s">
        <v>4338</v>
      </c>
      <c r="I3825" t="s">
        <v>32</v>
      </c>
      <c r="J3825" s="9"/>
      <c r="K3825" s="9"/>
      <c r="L3825" s="9"/>
    </row>
    <row r="3826" spans="2:12" ht="15" x14ac:dyDescent="0.25">
      <c r="B3826" t="s">
        <v>3400</v>
      </c>
      <c r="C3826" t="s">
        <v>3401</v>
      </c>
      <c r="D3826" t="str">
        <f>HYPERLINK("https://rhld.insurance.arkansas.gov/NPILookup?Npi=1295346260","1295346260")</f>
        <v>1295346260</v>
      </c>
      <c r="E3826" t="s">
        <v>3608</v>
      </c>
      <c r="F3826" t="s">
        <v>13</v>
      </c>
      <c r="G3826" s="20">
        <v>1</v>
      </c>
      <c r="H3826" t="s">
        <v>3403</v>
      </c>
      <c r="I3826" t="s">
        <v>4357</v>
      </c>
      <c r="J3826" s="9"/>
      <c r="K3826" s="9"/>
      <c r="L3826" s="9"/>
    </row>
    <row r="3827" spans="2:12" ht="15" x14ac:dyDescent="0.25">
      <c r="B3827" t="s">
        <v>3400</v>
      </c>
      <c r="C3827" t="s">
        <v>3401</v>
      </c>
      <c r="D3827" t="str">
        <f>HYPERLINK("https://rhld.insurance.arkansas.gov/NPILookup?Npi=1295364263","1295364263")</f>
        <v>1295364263</v>
      </c>
      <c r="E3827" t="s">
        <v>3609</v>
      </c>
      <c r="F3827" t="s">
        <v>13</v>
      </c>
      <c r="G3827" s="20">
        <v>1</v>
      </c>
      <c r="H3827" t="s">
        <v>3403</v>
      </c>
      <c r="I3827" t="s">
        <v>32</v>
      </c>
      <c r="J3827" s="9"/>
      <c r="K3827" s="9"/>
      <c r="L3827" s="9"/>
    </row>
    <row r="3828" spans="2:12" ht="15" x14ac:dyDescent="0.25">
      <c r="B3828" t="s">
        <v>3400</v>
      </c>
      <c r="C3828" t="s">
        <v>3401</v>
      </c>
      <c r="D3828" t="str">
        <f>HYPERLINK("https://rhld.insurance.arkansas.gov/NPILookup?Npi=1295372233","1295372233")</f>
        <v>1295372233</v>
      </c>
      <c r="E3828" t="s">
        <v>3610</v>
      </c>
      <c r="F3828" t="s">
        <v>13</v>
      </c>
      <c r="G3828" s="20">
        <v>1</v>
      </c>
      <c r="H3828" t="s">
        <v>3403</v>
      </c>
      <c r="I3828" t="s">
        <v>32</v>
      </c>
      <c r="J3828" s="9"/>
      <c r="K3828" s="9"/>
      <c r="L3828" s="9"/>
    </row>
    <row r="3829" spans="2:12" ht="15" x14ac:dyDescent="0.25">
      <c r="B3829" t="s">
        <v>3400</v>
      </c>
      <c r="C3829" t="s">
        <v>3401</v>
      </c>
      <c r="D3829" t="str">
        <f>HYPERLINK("https://rhld.insurance.arkansas.gov/NPILookup?Npi=1295535623","1295535623")</f>
        <v>1295535623</v>
      </c>
      <c r="E3829" t="s">
        <v>2483</v>
      </c>
      <c r="F3829" t="s">
        <v>13</v>
      </c>
      <c r="G3829" s="20">
        <v>1</v>
      </c>
      <c r="H3829" t="s">
        <v>4357</v>
      </c>
      <c r="I3829" t="s">
        <v>4357</v>
      </c>
      <c r="J3829" s="9"/>
      <c r="K3829" s="9"/>
      <c r="L3829" s="9"/>
    </row>
    <row r="3830" spans="2:12" ht="15" x14ac:dyDescent="0.25">
      <c r="B3830" t="s">
        <v>3400</v>
      </c>
      <c r="C3830" t="s">
        <v>3401</v>
      </c>
      <c r="D3830" t="str">
        <f>HYPERLINK("https://rhld.insurance.arkansas.gov/NPILookup?Npi=1295538247","1295538247")</f>
        <v>1295538247</v>
      </c>
      <c r="E3830" t="s">
        <v>2062</v>
      </c>
      <c r="F3830" t="s">
        <v>13</v>
      </c>
      <c r="G3830" s="20">
        <v>1</v>
      </c>
      <c r="H3830" t="s">
        <v>4357</v>
      </c>
      <c r="I3830" t="s">
        <v>4357</v>
      </c>
      <c r="J3830" s="9"/>
      <c r="K3830" s="9"/>
      <c r="L3830" s="9"/>
    </row>
    <row r="3831" spans="2:12" ht="15" x14ac:dyDescent="0.25">
      <c r="B3831" t="s">
        <v>3400</v>
      </c>
      <c r="C3831" t="s">
        <v>3401</v>
      </c>
      <c r="D3831" t="str">
        <f>HYPERLINK("https://rhld.insurance.arkansas.gov/NPILookup?Npi=1295727477","1295727477")</f>
        <v>1295727477</v>
      </c>
      <c r="E3831" t="s">
        <v>3611</v>
      </c>
      <c r="F3831" t="s">
        <v>13</v>
      </c>
      <c r="G3831" s="20">
        <v>1</v>
      </c>
      <c r="H3831" t="s">
        <v>3403</v>
      </c>
      <c r="I3831" t="s">
        <v>4357</v>
      </c>
      <c r="J3831" s="9"/>
      <c r="K3831" s="9"/>
      <c r="L3831" s="9"/>
    </row>
    <row r="3832" spans="2:12" ht="15" x14ac:dyDescent="0.25">
      <c r="B3832" t="s">
        <v>3400</v>
      </c>
      <c r="C3832" t="s">
        <v>3401</v>
      </c>
      <c r="D3832" t="str">
        <f>HYPERLINK("https://rhld.insurance.arkansas.gov/NPILookup?Npi=1295759629","1295759629")</f>
        <v>1295759629</v>
      </c>
      <c r="E3832" t="s">
        <v>3612</v>
      </c>
      <c r="F3832" t="s">
        <v>13</v>
      </c>
      <c r="G3832" s="20">
        <v>1</v>
      </c>
      <c r="H3832" t="s">
        <v>3403</v>
      </c>
      <c r="I3832" t="s">
        <v>32</v>
      </c>
      <c r="J3832" s="9"/>
      <c r="K3832" s="9"/>
      <c r="L3832" s="9"/>
    </row>
    <row r="3833" spans="2:12" ht="15" x14ac:dyDescent="0.25">
      <c r="B3833" t="s">
        <v>3400</v>
      </c>
      <c r="C3833" t="s">
        <v>3401</v>
      </c>
      <c r="D3833" t="str">
        <f>HYPERLINK("https://rhld.insurance.arkansas.gov/NPILookup?Npi=1306018478","1306018478")</f>
        <v>1306018478</v>
      </c>
      <c r="E3833" t="s">
        <v>3613</v>
      </c>
      <c r="F3833" t="s">
        <v>13</v>
      </c>
      <c r="G3833" s="20">
        <v>1</v>
      </c>
      <c r="H3833" t="s">
        <v>3403</v>
      </c>
      <c r="I3833" t="s">
        <v>32</v>
      </c>
      <c r="J3833" s="9"/>
      <c r="K3833" s="9"/>
      <c r="L3833" s="9"/>
    </row>
    <row r="3834" spans="2:12" ht="15" x14ac:dyDescent="0.25">
      <c r="B3834" t="s">
        <v>3400</v>
      </c>
      <c r="C3834" t="s">
        <v>3401</v>
      </c>
      <c r="D3834" t="str">
        <f>HYPERLINK("https://rhld.insurance.arkansas.gov/NPILookup?Npi=1306109228","1306109228")</f>
        <v>1306109228</v>
      </c>
      <c r="E3834" t="s">
        <v>3614</v>
      </c>
      <c r="F3834" t="s">
        <v>13</v>
      </c>
      <c r="G3834" s="20">
        <v>1</v>
      </c>
      <c r="H3834" t="s">
        <v>3403</v>
      </c>
      <c r="I3834" t="s">
        <v>4357</v>
      </c>
      <c r="J3834" s="9"/>
      <c r="K3834" s="9"/>
      <c r="L3834" s="9"/>
    </row>
    <row r="3835" spans="2:12" ht="15" x14ac:dyDescent="0.25">
      <c r="B3835" t="s">
        <v>3400</v>
      </c>
      <c r="C3835" t="s">
        <v>3401</v>
      </c>
      <c r="D3835" t="str">
        <f>HYPERLINK("https://rhld.insurance.arkansas.gov/NPILookup?Npi=1306249396","1306249396")</f>
        <v>1306249396</v>
      </c>
      <c r="E3835" t="s">
        <v>3615</v>
      </c>
      <c r="F3835" t="s">
        <v>13</v>
      </c>
      <c r="G3835" s="20">
        <v>1</v>
      </c>
      <c r="H3835" t="s">
        <v>87</v>
      </c>
      <c r="I3835" t="s">
        <v>32</v>
      </c>
      <c r="J3835" s="9"/>
      <c r="K3835" s="9"/>
      <c r="L3835" s="9"/>
    </row>
    <row r="3836" spans="2:12" ht="15" x14ac:dyDescent="0.25">
      <c r="B3836" t="s">
        <v>3400</v>
      </c>
      <c r="C3836" t="s">
        <v>3401</v>
      </c>
      <c r="D3836" t="str">
        <f>HYPERLINK("https://rhld.insurance.arkansas.gov/NPILookup?Npi=1306388939","1306388939")</f>
        <v>1306388939</v>
      </c>
      <c r="E3836" t="s">
        <v>2063</v>
      </c>
      <c r="F3836" t="s">
        <v>13</v>
      </c>
      <c r="G3836" s="20">
        <v>1</v>
      </c>
      <c r="H3836" t="s">
        <v>4357</v>
      </c>
      <c r="I3836" t="s">
        <v>4357</v>
      </c>
      <c r="J3836" s="9"/>
      <c r="K3836" s="9"/>
      <c r="L3836" s="9"/>
    </row>
    <row r="3837" spans="2:12" ht="15" x14ac:dyDescent="0.25">
      <c r="B3837" t="s">
        <v>3400</v>
      </c>
      <c r="C3837" t="s">
        <v>3401</v>
      </c>
      <c r="D3837" t="str">
        <f>HYPERLINK("https://rhld.insurance.arkansas.gov/NPILookup?Npi=1306469556","1306469556")</f>
        <v>1306469556</v>
      </c>
      <c r="E3837" t="s">
        <v>2497</v>
      </c>
      <c r="F3837" t="s">
        <v>13</v>
      </c>
      <c r="G3837" s="20">
        <v>1</v>
      </c>
      <c r="H3837" t="s">
        <v>4357</v>
      </c>
      <c r="I3837" t="s">
        <v>4357</v>
      </c>
      <c r="J3837" s="9"/>
      <c r="K3837" s="9"/>
      <c r="L3837" s="9"/>
    </row>
    <row r="3838" spans="2:12" ht="15" x14ac:dyDescent="0.25">
      <c r="B3838" t="s">
        <v>3400</v>
      </c>
      <c r="C3838" t="s">
        <v>3401</v>
      </c>
      <c r="D3838" t="str">
        <f>HYPERLINK("https://rhld.insurance.arkansas.gov/NPILookup?Npi=1306476510","1306476510")</f>
        <v>1306476510</v>
      </c>
      <c r="E3838" t="s">
        <v>3616</v>
      </c>
      <c r="F3838" t="s">
        <v>13</v>
      </c>
      <c r="G3838" s="20">
        <v>1</v>
      </c>
      <c r="H3838" t="s">
        <v>3403</v>
      </c>
      <c r="I3838" t="s">
        <v>4357</v>
      </c>
      <c r="J3838" s="9"/>
      <c r="K3838" s="9"/>
      <c r="L3838" s="9"/>
    </row>
    <row r="3839" spans="2:12" ht="15" x14ac:dyDescent="0.25">
      <c r="B3839" t="s">
        <v>3400</v>
      </c>
      <c r="C3839" t="s">
        <v>3401</v>
      </c>
      <c r="D3839" t="str">
        <f>HYPERLINK("https://rhld.insurance.arkansas.gov/NPILookup?Npi=1306830468","1306830468")</f>
        <v>1306830468</v>
      </c>
      <c r="E3839" t="s">
        <v>3617</v>
      </c>
      <c r="F3839" t="s">
        <v>13</v>
      </c>
      <c r="G3839" s="20">
        <v>1</v>
      </c>
      <c r="H3839" t="s">
        <v>3403</v>
      </c>
      <c r="I3839" t="s">
        <v>32</v>
      </c>
      <c r="J3839" s="9"/>
      <c r="K3839" s="9"/>
      <c r="L3839" s="9"/>
    </row>
    <row r="3840" spans="2:12" ht="15" x14ac:dyDescent="0.25">
      <c r="B3840" t="s">
        <v>3400</v>
      </c>
      <c r="C3840" t="s">
        <v>3401</v>
      </c>
      <c r="D3840" t="str">
        <f>HYPERLINK("https://rhld.insurance.arkansas.gov/NPILookup?Npi=1306876826","1306876826")</f>
        <v>1306876826</v>
      </c>
      <c r="E3840" t="s">
        <v>3618</v>
      </c>
      <c r="F3840" t="s">
        <v>13</v>
      </c>
      <c r="G3840" s="20">
        <v>1</v>
      </c>
      <c r="H3840" t="s">
        <v>3403</v>
      </c>
      <c r="I3840" t="s">
        <v>4357</v>
      </c>
      <c r="J3840" s="9"/>
      <c r="K3840" s="9"/>
      <c r="L3840" s="9"/>
    </row>
    <row r="3841" spans="2:12" ht="15" x14ac:dyDescent="0.25">
      <c r="B3841" t="s">
        <v>3400</v>
      </c>
      <c r="C3841" t="s">
        <v>3401</v>
      </c>
      <c r="D3841" t="str">
        <f>HYPERLINK("https://rhld.insurance.arkansas.gov/NPILookup?Npi=1306885116","1306885116")</f>
        <v>1306885116</v>
      </c>
      <c r="E3841" t="s">
        <v>3619</v>
      </c>
      <c r="F3841" t="s">
        <v>13</v>
      </c>
      <c r="G3841" s="20">
        <v>1</v>
      </c>
      <c r="H3841" t="s">
        <v>3403</v>
      </c>
      <c r="I3841" t="s">
        <v>32</v>
      </c>
      <c r="J3841" s="9"/>
      <c r="K3841" s="9"/>
      <c r="L3841" s="9"/>
    </row>
    <row r="3842" spans="2:12" ht="15" x14ac:dyDescent="0.25">
      <c r="B3842" t="s">
        <v>3400</v>
      </c>
      <c r="C3842" t="s">
        <v>3401</v>
      </c>
      <c r="D3842" t="str">
        <f>HYPERLINK("https://rhld.insurance.arkansas.gov/NPILookup?Npi=1306957006","1306957006")</f>
        <v>1306957006</v>
      </c>
      <c r="E3842" t="s">
        <v>3620</v>
      </c>
      <c r="F3842" t="s">
        <v>13</v>
      </c>
      <c r="G3842" s="20">
        <v>1</v>
      </c>
      <c r="H3842" t="s">
        <v>3403</v>
      </c>
      <c r="I3842" t="s">
        <v>32</v>
      </c>
      <c r="J3842" s="9"/>
      <c r="K3842" s="9"/>
      <c r="L3842" s="9"/>
    </row>
    <row r="3843" spans="2:12" ht="15" x14ac:dyDescent="0.25">
      <c r="B3843" t="s">
        <v>3400</v>
      </c>
      <c r="C3843" t="s">
        <v>3401</v>
      </c>
      <c r="D3843" t="str">
        <f>HYPERLINK("https://rhld.insurance.arkansas.gov/NPILookup?Npi=1316107121","1316107121")</f>
        <v>1316107121</v>
      </c>
      <c r="E3843" t="s">
        <v>3621</v>
      </c>
      <c r="F3843" t="s">
        <v>13</v>
      </c>
      <c r="G3843" s="20">
        <v>1</v>
      </c>
      <c r="H3843" t="s">
        <v>3403</v>
      </c>
      <c r="I3843" t="s">
        <v>32</v>
      </c>
      <c r="J3843" s="9"/>
      <c r="K3843" s="9"/>
      <c r="L3843" s="9"/>
    </row>
    <row r="3844" spans="2:12" ht="15" x14ac:dyDescent="0.25">
      <c r="B3844" t="s">
        <v>3400</v>
      </c>
      <c r="C3844" t="s">
        <v>3401</v>
      </c>
      <c r="D3844" t="str">
        <f>HYPERLINK("https://rhld.insurance.arkansas.gov/NPILookup?Npi=1316265820","1316265820")</f>
        <v>1316265820</v>
      </c>
      <c r="E3844" t="s">
        <v>2505</v>
      </c>
      <c r="F3844" t="s">
        <v>13</v>
      </c>
      <c r="G3844" s="20">
        <v>1</v>
      </c>
      <c r="H3844" t="s">
        <v>3403</v>
      </c>
      <c r="I3844" t="s">
        <v>4357</v>
      </c>
      <c r="J3844" s="9"/>
      <c r="K3844" s="9"/>
      <c r="L3844" s="9"/>
    </row>
    <row r="3845" spans="2:12" ht="15" x14ac:dyDescent="0.25">
      <c r="B3845" t="s">
        <v>3400</v>
      </c>
      <c r="C3845" t="s">
        <v>3401</v>
      </c>
      <c r="D3845" t="str">
        <f>HYPERLINK("https://rhld.insurance.arkansas.gov/NPILookup?Npi=1316433998","1316433998")</f>
        <v>1316433998</v>
      </c>
      <c r="E3845" t="s">
        <v>3622</v>
      </c>
      <c r="F3845" t="s">
        <v>13</v>
      </c>
      <c r="G3845" s="20">
        <v>2</v>
      </c>
      <c r="H3845" t="s">
        <v>3623</v>
      </c>
      <c r="I3845" t="s">
        <v>32</v>
      </c>
      <c r="J3845" s="9"/>
      <c r="K3845" s="9"/>
      <c r="L3845" s="9"/>
    </row>
    <row r="3846" spans="2:12" ht="15" x14ac:dyDescent="0.25">
      <c r="B3846" t="s">
        <v>3400</v>
      </c>
      <c r="C3846" t="s">
        <v>3401</v>
      </c>
      <c r="D3846" t="str">
        <f>HYPERLINK("https://rhld.insurance.arkansas.gov/NPILookup?Npi=1316502693","1316502693")</f>
        <v>1316502693</v>
      </c>
      <c r="E3846" t="s">
        <v>2506</v>
      </c>
      <c r="F3846" t="s">
        <v>13</v>
      </c>
      <c r="G3846" s="20">
        <v>1</v>
      </c>
      <c r="H3846" t="s">
        <v>4357</v>
      </c>
      <c r="I3846" t="s">
        <v>4357</v>
      </c>
      <c r="J3846" s="9"/>
      <c r="K3846" s="9"/>
      <c r="L3846" s="9"/>
    </row>
    <row r="3847" spans="2:12" ht="15" x14ac:dyDescent="0.25">
      <c r="B3847" t="s">
        <v>3400</v>
      </c>
      <c r="C3847" t="s">
        <v>3401</v>
      </c>
      <c r="D3847" t="str">
        <f>HYPERLINK("https://rhld.insurance.arkansas.gov/NPILookup?Npi=1316527500","1316527500")</f>
        <v>1316527500</v>
      </c>
      <c r="E3847" t="s">
        <v>3624</v>
      </c>
      <c r="F3847" t="s">
        <v>13</v>
      </c>
      <c r="G3847" s="20">
        <v>1</v>
      </c>
      <c r="H3847" t="s">
        <v>4357</v>
      </c>
      <c r="I3847" t="s">
        <v>4357</v>
      </c>
      <c r="J3847" s="9"/>
      <c r="K3847" s="9"/>
      <c r="L3847" s="9"/>
    </row>
    <row r="3848" spans="2:12" ht="15" x14ac:dyDescent="0.25">
      <c r="B3848" t="s">
        <v>3400</v>
      </c>
      <c r="C3848" t="s">
        <v>3401</v>
      </c>
      <c r="D3848" t="str">
        <f>HYPERLINK("https://rhld.insurance.arkansas.gov/NPILookup?Npi=1316784085","1316784085")</f>
        <v>1316784085</v>
      </c>
      <c r="E3848" t="s">
        <v>3625</v>
      </c>
      <c r="F3848" t="s">
        <v>13</v>
      </c>
      <c r="G3848" s="20">
        <v>1</v>
      </c>
      <c r="H3848" t="s">
        <v>3403</v>
      </c>
      <c r="I3848" t="s">
        <v>4357</v>
      </c>
      <c r="J3848" s="9"/>
      <c r="K3848" s="9"/>
      <c r="L3848" s="9"/>
    </row>
    <row r="3849" spans="2:12" ht="15" x14ac:dyDescent="0.25">
      <c r="B3849" t="s">
        <v>3400</v>
      </c>
      <c r="C3849" t="s">
        <v>3401</v>
      </c>
      <c r="D3849" t="str">
        <f>HYPERLINK("https://rhld.insurance.arkansas.gov/NPILookup?Npi=1316788060","1316788060")</f>
        <v>1316788060</v>
      </c>
      <c r="E3849" t="s">
        <v>2510</v>
      </c>
      <c r="F3849" t="s">
        <v>13</v>
      </c>
      <c r="G3849" s="20">
        <v>1</v>
      </c>
      <c r="H3849" t="s">
        <v>4357</v>
      </c>
      <c r="I3849" t="s">
        <v>4357</v>
      </c>
      <c r="J3849" s="9"/>
      <c r="K3849" s="9"/>
      <c r="L3849" s="9"/>
    </row>
    <row r="3850" spans="2:12" ht="15" x14ac:dyDescent="0.25">
      <c r="B3850" t="s">
        <v>3400</v>
      </c>
      <c r="C3850" t="s">
        <v>3401</v>
      </c>
      <c r="D3850" t="str">
        <f>HYPERLINK("https://rhld.insurance.arkansas.gov/NPILookup?Npi=1316788276","1316788276")</f>
        <v>1316788276</v>
      </c>
      <c r="E3850" t="s">
        <v>2511</v>
      </c>
      <c r="F3850" t="s">
        <v>13</v>
      </c>
      <c r="G3850" s="20">
        <v>1</v>
      </c>
      <c r="H3850" t="s">
        <v>4357</v>
      </c>
      <c r="I3850" t="s">
        <v>4357</v>
      </c>
      <c r="J3850" s="9"/>
      <c r="K3850" s="9"/>
      <c r="L3850" s="9"/>
    </row>
    <row r="3851" spans="2:12" ht="15" x14ac:dyDescent="0.25">
      <c r="B3851" t="s">
        <v>3400</v>
      </c>
      <c r="C3851" t="s">
        <v>3401</v>
      </c>
      <c r="D3851" t="str">
        <f>HYPERLINK("https://rhld.insurance.arkansas.gov/NPILookup?Npi=1316830334","1316830334")</f>
        <v>1316830334</v>
      </c>
      <c r="E3851" t="s">
        <v>2064</v>
      </c>
      <c r="F3851" t="s">
        <v>13</v>
      </c>
      <c r="G3851" s="20">
        <v>1</v>
      </c>
      <c r="H3851" t="s">
        <v>4357</v>
      </c>
      <c r="I3851" t="s">
        <v>4357</v>
      </c>
      <c r="J3851" s="9"/>
      <c r="K3851" s="9"/>
      <c r="L3851" s="9"/>
    </row>
    <row r="3852" spans="2:12" ht="15" x14ac:dyDescent="0.25">
      <c r="B3852" t="s">
        <v>3400</v>
      </c>
      <c r="C3852" t="s">
        <v>3401</v>
      </c>
      <c r="D3852" t="str">
        <f>HYPERLINK("https://rhld.insurance.arkansas.gov/NPILookup?Npi=1316916844","1316916844")</f>
        <v>1316916844</v>
      </c>
      <c r="E3852" t="s">
        <v>3626</v>
      </c>
      <c r="F3852" t="s">
        <v>13</v>
      </c>
      <c r="G3852" s="20">
        <v>1</v>
      </c>
      <c r="H3852" t="s">
        <v>3403</v>
      </c>
      <c r="I3852" t="s">
        <v>4357</v>
      </c>
      <c r="J3852" s="9"/>
      <c r="K3852" s="9"/>
      <c r="L3852" s="9"/>
    </row>
    <row r="3853" spans="2:12" ht="15" x14ac:dyDescent="0.25">
      <c r="B3853" t="s">
        <v>3400</v>
      </c>
      <c r="C3853" t="s">
        <v>3401</v>
      </c>
      <c r="D3853" t="str">
        <f>HYPERLINK("https://rhld.insurance.arkansas.gov/NPILookup?Npi=1316930944","1316930944")</f>
        <v>1316930944</v>
      </c>
      <c r="E3853" t="s">
        <v>3627</v>
      </c>
      <c r="F3853" t="s">
        <v>13</v>
      </c>
      <c r="G3853" s="20">
        <v>1</v>
      </c>
      <c r="H3853" t="s">
        <v>3403</v>
      </c>
      <c r="I3853" t="s">
        <v>4357</v>
      </c>
      <c r="J3853" s="9"/>
      <c r="K3853" s="9"/>
      <c r="L3853" s="9"/>
    </row>
    <row r="3854" spans="2:12" ht="15" x14ac:dyDescent="0.25">
      <c r="B3854" t="s">
        <v>3400</v>
      </c>
      <c r="C3854" t="s">
        <v>3401</v>
      </c>
      <c r="D3854" t="str">
        <f>HYPERLINK("https://rhld.insurance.arkansas.gov/NPILookup?Npi=1316933575","1316933575")</f>
        <v>1316933575</v>
      </c>
      <c r="E3854" t="s">
        <v>3628</v>
      </c>
      <c r="F3854" t="s">
        <v>13</v>
      </c>
      <c r="G3854" s="20">
        <v>1</v>
      </c>
      <c r="H3854" t="s">
        <v>3403</v>
      </c>
      <c r="I3854" t="s">
        <v>32</v>
      </c>
      <c r="J3854" s="9"/>
      <c r="K3854" s="9"/>
      <c r="L3854" s="9"/>
    </row>
    <row r="3855" spans="2:12" ht="15" x14ac:dyDescent="0.25">
      <c r="B3855" t="s">
        <v>3400</v>
      </c>
      <c r="C3855" t="s">
        <v>3401</v>
      </c>
      <c r="D3855" t="str">
        <f>HYPERLINK("https://rhld.insurance.arkansas.gov/NPILookup?Npi=1316949167","1316949167")</f>
        <v>1316949167</v>
      </c>
      <c r="E3855" t="s">
        <v>3629</v>
      </c>
      <c r="F3855" t="s">
        <v>13</v>
      </c>
      <c r="G3855" s="20">
        <v>1</v>
      </c>
      <c r="H3855" t="s">
        <v>3403</v>
      </c>
      <c r="I3855" t="s">
        <v>32</v>
      </c>
      <c r="J3855" s="9"/>
      <c r="K3855" s="9"/>
      <c r="L3855" s="9"/>
    </row>
    <row r="3856" spans="2:12" ht="15" x14ac:dyDescent="0.25">
      <c r="B3856" t="s">
        <v>3400</v>
      </c>
      <c r="C3856" t="s">
        <v>3401</v>
      </c>
      <c r="D3856" t="str">
        <f>HYPERLINK("https://rhld.insurance.arkansas.gov/NPILookup?Npi=1316949308","1316949308")</f>
        <v>1316949308</v>
      </c>
      <c r="E3856" t="s">
        <v>3630</v>
      </c>
      <c r="F3856" t="s">
        <v>13</v>
      </c>
      <c r="G3856" s="20">
        <v>1</v>
      </c>
      <c r="H3856" t="s">
        <v>3403</v>
      </c>
      <c r="I3856" t="s">
        <v>32</v>
      </c>
      <c r="J3856" s="9"/>
      <c r="K3856" s="9"/>
      <c r="L3856" s="9"/>
    </row>
    <row r="3857" spans="2:12" ht="15" x14ac:dyDescent="0.25">
      <c r="B3857" t="s">
        <v>3400</v>
      </c>
      <c r="C3857" t="s">
        <v>3401</v>
      </c>
      <c r="D3857" t="str">
        <f>HYPERLINK("https://rhld.insurance.arkansas.gov/NPILookup?Npi=1316963234","1316963234")</f>
        <v>1316963234</v>
      </c>
      <c r="E3857" t="s">
        <v>3631</v>
      </c>
      <c r="F3857" t="s">
        <v>13</v>
      </c>
      <c r="G3857" s="20">
        <v>1</v>
      </c>
      <c r="H3857" t="s">
        <v>3403</v>
      </c>
      <c r="I3857" t="s">
        <v>32</v>
      </c>
      <c r="J3857" s="9"/>
      <c r="K3857" s="9"/>
      <c r="L3857" s="9"/>
    </row>
    <row r="3858" spans="2:12" ht="15" x14ac:dyDescent="0.25">
      <c r="B3858" t="s">
        <v>3400</v>
      </c>
      <c r="C3858" t="s">
        <v>3401</v>
      </c>
      <c r="D3858" t="str">
        <f>HYPERLINK("https://rhld.insurance.arkansas.gov/NPILookup?Npi=1316966724","1316966724")</f>
        <v>1316966724</v>
      </c>
      <c r="E3858" t="s">
        <v>2516</v>
      </c>
      <c r="F3858" t="s">
        <v>13</v>
      </c>
      <c r="G3858" s="20">
        <v>1</v>
      </c>
      <c r="H3858" t="s">
        <v>3403</v>
      </c>
      <c r="I3858" t="s">
        <v>4357</v>
      </c>
      <c r="J3858" s="9"/>
      <c r="K3858" s="9"/>
      <c r="L3858" s="9"/>
    </row>
    <row r="3859" spans="2:12" ht="15" x14ac:dyDescent="0.25">
      <c r="B3859" t="s">
        <v>3400</v>
      </c>
      <c r="C3859" t="s">
        <v>3401</v>
      </c>
      <c r="D3859" t="str">
        <f>HYPERLINK("https://rhld.insurance.arkansas.gov/NPILookup?Npi=1326076993","1326076993")</f>
        <v>1326076993</v>
      </c>
      <c r="E3859" t="s">
        <v>2519</v>
      </c>
      <c r="F3859" t="s">
        <v>13</v>
      </c>
      <c r="G3859" s="20">
        <v>1</v>
      </c>
      <c r="H3859" t="s">
        <v>3403</v>
      </c>
      <c r="I3859" t="s">
        <v>4357</v>
      </c>
      <c r="J3859" s="9"/>
      <c r="K3859" s="9"/>
      <c r="L3859" s="9"/>
    </row>
    <row r="3860" spans="2:12" ht="15" x14ac:dyDescent="0.25">
      <c r="B3860" t="s">
        <v>3400</v>
      </c>
      <c r="C3860" t="s">
        <v>3401</v>
      </c>
      <c r="D3860" t="str">
        <f>HYPERLINK("https://rhld.insurance.arkansas.gov/NPILookup?Npi=1326428905","1326428905")</f>
        <v>1326428905</v>
      </c>
      <c r="E3860" t="s">
        <v>2522</v>
      </c>
      <c r="F3860" t="s">
        <v>13</v>
      </c>
      <c r="G3860" s="20">
        <v>1</v>
      </c>
      <c r="H3860" t="s">
        <v>3403</v>
      </c>
      <c r="I3860" t="s">
        <v>4357</v>
      </c>
      <c r="J3860" s="9"/>
      <c r="K3860" s="9"/>
      <c r="L3860" s="9"/>
    </row>
    <row r="3861" spans="2:12" ht="15" x14ac:dyDescent="0.25">
      <c r="B3861" t="s">
        <v>3400</v>
      </c>
      <c r="C3861" t="s">
        <v>3401</v>
      </c>
      <c r="D3861" t="str">
        <f>HYPERLINK("https://rhld.insurance.arkansas.gov/NPILookup?Npi=1326436734","1326436734")</f>
        <v>1326436734</v>
      </c>
      <c r="E3861" t="s">
        <v>3632</v>
      </c>
      <c r="F3861" t="s">
        <v>13</v>
      </c>
      <c r="G3861" s="20">
        <v>1</v>
      </c>
      <c r="H3861" t="s">
        <v>87</v>
      </c>
      <c r="I3861" t="s">
        <v>32</v>
      </c>
      <c r="J3861" s="9"/>
      <c r="K3861" s="9"/>
      <c r="L3861" s="9"/>
    </row>
    <row r="3862" spans="2:12" ht="15" x14ac:dyDescent="0.25">
      <c r="B3862" t="s">
        <v>3400</v>
      </c>
      <c r="C3862" t="s">
        <v>3401</v>
      </c>
      <c r="D3862" t="str">
        <f>HYPERLINK("https://rhld.insurance.arkansas.gov/NPILookup?Npi=1326445578","1326445578")</f>
        <v>1326445578</v>
      </c>
      <c r="E3862" t="s">
        <v>3633</v>
      </c>
      <c r="F3862" t="s">
        <v>13</v>
      </c>
      <c r="G3862" s="20">
        <v>1</v>
      </c>
      <c r="H3862" t="s">
        <v>3403</v>
      </c>
      <c r="I3862" t="s">
        <v>32</v>
      </c>
      <c r="J3862" s="9"/>
      <c r="K3862" s="9"/>
      <c r="L3862" s="9"/>
    </row>
    <row r="3863" spans="2:12" ht="15" x14ac:dyDescent="0.25">
      <c r="B3863" t="s">
        <v>3400</v>
      </c>
      <c r="C3863" t="s">
        <v>3401</v>
      </c>
      <c r="D3863" t="str">
        <f>HYPERLINK("https://rhld.insurance.arkansas.gov/NPILookup?Npi=1326857160","1326857160")</f>
        <v>1326857160</v>
      </c>
      <c r="E3863" t="s">
        <v>2526</v>
      </c>
      <c r="F3863" t="s">
        <v>13</v>
      </c>
      <c r="G3863" s="20">
        <v>1</v>
      </c>
      <c r="H3863" t="s">
        <v>4357</v>
      </c>
      <c r="I3863" t="s">
        <v>4357</v>
      </c>
      <c r="J3863" s="9"/>
      <c r="K3863" s="9"/>
      <c r="L3863" s="9"/>
    </row>
    <row r="3864" spans="2:12" ht="15" x14ac:dyDescent="0.25">
      <c r="B3864" t="s">
        <v>3400</v>
      </c>
      <c r="C3864" t="s">
        <v>3401</v>
      </c>
      <c r="D3864" t="str">
        <f>HYPERLINK("https://rhld.insurance.arkansas.gov/NPILookup?Npi=1326857863","1326857863")</f>
        <v>1326857863</v>
      </c>
      <c r="E3864" t="s">
        <v>2527</v>
      </c>
      <c r="F3864" t="s">
        <v>13</v>
      </c>
      <c r="G3864" s="20">
        <v>1</v>
      </c>
      <c r="H3864" t="s">
        <v>4357</v>
      </c>
      <c r="I3864" t="s">
        <v>4357</v>
      </c>
      <c r="J3864" s="9"/>
      <c r="K3864" s="9"/>
      <c r="L3864" s="9"/>
    </row>
    <row r="3865" spans="2:12" ht="15" x14ac:dyDescent="0.25">
      <c r="B3865" t="s">
        <v>3400</v>
      </c>
      <c r="C3865" t="s">
        <v>3401</v>
      </c>
      <c r="D3865" t="str">
        <f>HYPERLINK("https://rhld.insurance.arkansas.gov/NPILookup?Npi=1336147701","1336147701")</f>
        <v>1336147701</v>
      </c>
      <c r="E3865" t="s">
        <v>3635</v>
      </c>
      <c r="F3865" t="s">
        <v>13</v>
      </c>
      <c r="G3865" s="20">
        <v>1</v>
      </c>
      <c r="H3865" t="s">
        <v>3403</v>
      </c>
      <c r="I3865" t="s">
        <v>4357</v>
      </c>
      <c r="J3865" s="9"/>
      <c r="K3865" s="9"/>
      <c r="L3865" s="9"/>
    </row>
    <row r="3866" spans="2:12" ht="15" x14ac:dyDescent="0.25">
      <c r="B3866" t="s">
        <v>3400</v>
      </c>
      <c r="C3866" t="s">
        <v>3401</v>
      </c>
      <c r="D3866" t="str">
        <f>HYPERLINK("https://rhld.insurance.arkansas.gov/NPILookup?Npi=1336172238","1336172238")</f>
        <v>1336172238</v>
      </c>
      <c r="E3866" t="s">
        <v>3636</v>
      </c>
      <c r="F3866" t="s">
        <v>13</v>
      </c>
      <c r="G3866" s="20">
        <v>1</v>
      </c>
      <c r="H3866" t="s">
        <v>3403</v>
      </c>
      <c r="I3866" t="s">
        <v>32</v>
      </c>
      <c r="J3866" s="9"/>
      <c r="K3866" s="9"/>
      <c r="L3866" s="9"/>
    </row>
    <row r="3867" spans="2:12" ht="15" x14ac:dyDescent="0.25">
      <c r="B3867" t="s">
        <v>3400</v>
      </c>
      <c r="C3867" t="s">
        <v>3401</v>
      </c>
      <c r="D3867" t="str">
        <f>HYPERLINK("https://rhld.insurance.arkansas.gov/NPILookup?Npi=1336180074","1336180074")</f>
        <v>1336180074</v>
      </c>
      <c r="E3867" t="s">
        <v>2529</v>
      </c>
      <c r="F3867" t="s">
        <v>13</v>
      </c>
      <c r="G3867" s="20">
        <v>1</v>
      </c>
      <c r="H3867" t="s">
        <v>3403</v>
      </c>
      <c r="I3867" t="s">
        <v>32</v>
      </c>
      <c r="J3867" s="9"/>
      <c r="K3867" s="9"/>
      <c r="L3867" s="9"/>
    </row>
    <row r="3868" spans="2:12" ht="15" x14ac:dyDescent="0.25">
      <c r="B3868" t="s">
        <v>3400</v>
      </c>
      <c r="C3868" t="s">
        <v>3401</v>
      </c>
      <c r="D3868" t="str">
        <f>HYPERLINK("https://rhld.insurance.arkansas.gov/NPILookup?Npi=1336231471","1336231471")</f>
        <v>1336231471</v>
      </c>
      <c r="E3868" t="s">
        <v>3637</v>
      </c>
      <c r="F3868" t="s">
        <v>13</v>
      </c>
      <c r="G3868" s="20">
        <v>1</v>
      </c>
      <c r="H3868" t="s">
        <v>3403</v>
      </c>
      <c r="I3868" t="s">
        <v>32</v>
      </c>
      <c r="J3868" s="9"/>
      <c r="K3868" s="9"/>
      <c r="L3868" s="9"/>
    </row>
    <row r="3869" spans="2:12" ht="15" x14ac:dyDescent="0.25">
      <c r="B3869" t="s">
        <v>3400</v>
      </c>
      <c r="C3869" t="s">
        <v>3401</v>
      </c>
      <c r="D3869" t="str">
        <f>HYPERLINK("https://rhld.insurance.arkansas.gov/NPILookup?Npi=1336533140","1336533140")</f>
        <v>1336533140</v>
      </c>
      <c r="E3869" t="s">
        <v>3638</v>
      </c>
      <c r="F3869" t="s">
        <v>13</v>
      </c>
      <c r="G3869" s="20">
        <v>1</v>
      </c>
      <c r="H3869" t="s">
        <v>3403</v>
      </c>
      <c r="I3869" t="s">
        <v>32</v>
      </c>
      <c r="J3869" s="9"/>
      <c r="K3869" s="9"/>
      <c r="L3869" s="9"/>
    </row>
    <row r="3870" spans="2:12" ht="15" x14ac:dyDescent="0.25">
      <c r="B3870" t="s">
        <v>3400</v>
      </c>
      <c r="C3870" t="s">
        <v>3401</v>
      </c>
      <c r="D3870" t="str">
        <f>HYPERLINK("https://rhld.insurance.arkansas.gov/NPILookup?Npi=1336534411","1336534411")</f>
        <v>1336534411</v>
      </c>
      <c r="E3870" t="s">
        <v>3639</v>
      </c>
      <c r="F3870" t="s">
        <v>13</v>
      </c>
      <c r="G3870" s="20">
        <v>1</v>
      </c>
      <c r="H3870" t="s">
        <v>3403</v>
      </c>
      <c r="I3870" t="s">
        <v>32</v>
      </c>
      <c r="J3870" s="9"/>
      <c r="K3870" s="9"/>
      <c r="L3870" s="9"/>
    </row>
    <row r="3871" spans="2:12" ht="15" x14ac:dyDescent="0.25">
      <c r="B3871" t="s">
        <v>3400</v>
      </c>
      <c r="C3871" t="s">
        <v>3401</v>
      </c>
      <c r="D3871" t="str">
        <f>HYPERLINK("https://rhld.insurance.arkansas.gov/NPILookup?Npi=1336581727","1336581727")</f>
        <v>1336581727</v>
      </c>
      <c r="E3871" t="s">
        <v>566</v>
      </c>
      <c r="F3871" t="s">
        <v>13</v>
      </c>
      <c r="G3871" s="20">
        <v>1</v>
      </c>
      <c r="H3871" t="s">
        <v>3403</v>
      </c>
      <c r="I3871" t="s">
        <v>32</v>
      </c>
      <c r="J3871" s="9"/>
      <c r="K3871" s="9"/>
      <c r="L3871" s="9"/>
    </row>
    <row r="3872" spans="2:12" ht="15" x14ac:dyDescent="0.25">
      <c r="B3872" t="s">
        <v>3400</v>
      </c>
      <c r="C3872" t="s">
        <v>3401</v>
      </c>
      <c r="D3872" t="str">
        <f>HYPERLINK("https://rhld.insurance.arkansas.gov/NPILookup?Npi=1336646496","1336646496")</f>
        <v>1336646496</v>
      </c>
      <c r="E3872" t="s">
        <v>3640</v>
      </c>
      <c r="F3872" t="s">
        <v>13</v>
      </c>
      <c r="G3872" s="20">
        <v>1</v>
      </c>
      <c r="H3872" t="s">
        <v>3403</v>
      </c>
      <c r="I3872" t="s">
        <v>32</v>
      </c>
      <c r="J3872" s="9"/>
      <c r="K3872" s="9"/>
      <c r="L3872" s="9"/>
    </row>
    <row r="3873" spans="2:12" ht="15" x14ac:dyDescent="0.25">
      <c r="B3873" t="s">
        <v>3400</v>
      </c>
      <c r="C3873" t="s">
        <v>3401</v>
      </c>
      <c r="D3873" t="str">
        <f>HYPERLINK("https://rhld.insurance.arkansas.gov/NPILookup?Npi=1336720457","1336720457")</f>
        <v>1336720457</v>
      </c>
      <c r="E3873" t="s">
        <v>2534</v>
      </c>
      <c r="F3873" t="s">
        <v>13</v>
      </c>
      <c r="G3873" s="20">
        <v>1</v>
      </c>
      <c r="H3873" t="s">
        <v>4357</v>
      </c>
      <c r="I3873" t="s">
        <v>4357</v>
      </c>
      <c r="J3873" s="9"/>
      <c r="K3873" s="9"/>
      <c r="L3873" s="9"/>
    </row>
    <row r="3874" spans="2:12" ht="15" x14ac:dyDescent="0.25">
      <c r="B3874" t="s">
        <v>3400</v>
      </c>
      <c r="C3874" t="s">
        <v>3401</v>
      </c>
      <c r="D3874" t="str">
        <f>HYPERLINK("https://rhld.insurance.arkansas.gov/NPILookup?Npi=1336762228","1336762228")</f>
        <v>1336762228</v>
      </c>
      <c r="E3874" t="s">
        <v>2535</v>
      </c>
      <c r="F3874" t="s">
        <v>13</v>
      </c>
      <c r="G3874" s="20">
        <v>1</v>
      </c>
      <c r="H3874" t="s">
        <v>4357</v>
      </c>
      <c r="I3874" t="s">
        <v>4357</v>
      </c>
      <c r="J3874" s="9"/>
      <c r="K3874" s="9"/>
      <c r="L3874" s="9"/>
    </row>
    <row r="3875" spans="2:12" ht="15" x14ac:dyDescent="0.25">
      <c r="B3875" t="s">
        <v>3400</v>
      </c>
      <c r="C3875" t="s">
        <v>3401</v>
      </c>
      <c r="D3875" t="str">
        <f>HYPERLINK("https://rhld.insurance.arkansas.gov/NPILookup?Npi=1336764604","1336764604")</f>
        <v>1336764604</v>
      </c>
      <c r="E3875" t="s">
        <v>2536</v>
      </c>
      <c r="F3875" t="s">
        <v>13</v>
      </c>
      <c r="G3875" s="20">
        <v>1</v>
      </c>
      <c r="H3875" t="s">
        <v>4357</v>
      </c>
      <c r="I3875" t="s">
        <v>4357</v>
      </c>
      <c r="J3875" s="9"/>
      <c r="K3875" s="9"/>
      <c r="L3875" s="9"/>
    </row>
    <row r="3876" spans="2:12" ht="15" x14ac:dyDescent="0.25">
      <c r="B3876" t="s">
        <v>3400</v>
      </c>
      <c r="C3876" t="s">
        <v>3401</v>
      </c>
      <c r="D3876" t="str">
        <f>HYPERLINK("https://rhld.insurance.arkansas.gov/NPILookup?Npi=1336764778","1336764778")</f>
        <v>1336764778</v>
      </c>
      <c r="E3876" t="s">
        <v>3641</v>
      </c>
      <c r="F3876" t="s">
        <v>13</v>
      </c>
      <c r="G3876" s="20">
        <v>1</v>
      </c>
      <c r="H3876" t="s">
        <v>3403</v>
      </c>
      <c r="I3876" t="s">
        <v>4357</v>
      </c>
      <c r="J3876" s="9"/>
      <c r="K3876" s="9"/>
      <c r="L3876" s="9"/>
    </row>
    <row r="3877" spans="2:12" ht="15" x14ac:dyDescent="0.25">
      <c r="B3877" t="s">
        <v>3400</v>
      </c>
      <c r="C3877" t="s">
        <v>3401</v>
      </c>
      <c r="D3877" t="str">
        <f>HYPERLINK("https://rhld.insurance.arkansas.gov/NPILookup?Npi=1336792563","1336792563")</f>
        <v>1336792563</v>
      </c>
      <c r="E3877" t="s">
        <v>2537</v>
      </c>
      <c r="F3877" t="s">
        <v>13</v>
      </c>
      <c r="G3877" s="20">
        <v>1</v>
      </c>
      <c r="H3877" t="s">
        <v>3403</v>
      </c>
      <c r="I3877" t="s">
        <v>4357</v>
      </c>
      <c r="J3877" s="9"/>
      <c r="K3877" s="9"/>
      <c r="L3877" s="9"/>
    </row>
    <row r="3878" spans="2:12" ht="15" x14ac:dyDescent="0.25">
      <c r="B3878" t="s">
        <v>3400</v>
      </c>
      <c r="C3878" t="s">
        <v>3401</v>
      </c>
      <c r="D3878" t="str">
        <f>HYPERLINK("https://rhld.insurance.arkansas.gov/NPILookup?Npi=1336870641","1336870641")</f>
        <v>1336870641</v>
      </c>
      <c r="E3878" t="s">
        <v>2065</v>
      </c>
      <c r="F3878" t="s">
        <v>13</v>
      </c>
      <c r="G3878" s="20">
        <v>1</v>
      </c>
      <c r="H3878" t="s">
        <v>4357</v>
      </c>
      <c r="I3878" t="s">
        <v>4357</v>
      </c>
      <c r="J3878" s="9"/>
      <c r="K3878" s="9"/>
      <c r="L3878" s="9"/>
    </row>
    <row r="3879" spans="2:12" ht="15" x14ac:dyDescent="0.25">
      <c r="B3879" t="s">
        <v>3400</v>
      </c>
      <c r="C3879" t="s">
        <v>3401</v>
      </c>
      <c r="D3879" t="str">
        <f>HYPERLINK("https://rhld.insurance.arkansas.gov/NPILookup?Npi=1346205507","1346205507")</f>
        <v>1346205507</v>
      </c>
      <c r="E3879" t="s">
        <v>3642</v>
      </c>
      <c r="F3879" t="s">
        <v>13</v>
      </c>
      <c r="G3879" s="20">
        <v>1</v>
      </c>
      <c r="H3879" t="s">
        <v>3403</v>
      </c>
      <c r="I3879" t="s">
        <v>4357</v>
      </c>
      <c r="J3879" s="9"/>
      <c r="K3879" s="9"/>
      <c r="L3879" s="9"/>
    </row>
    <row r="3880" spans="2:12" ht="15" x14ac:dyDescent="0.25">
      <c r="B3880" t="s">
        <v>3400</v>
      </c>
      <c r="C3880" t="s">
        <v>3401</v>
      </c>
      <c r="D3880" t="str">
        <f>HYPERLINK("https://rhld.insurance.arkansas.gov/NPILookup?Npi=1346208725","1346208725")</f>
        <v>1346208725</v>
      </c>
      <c r="E3880" t="s">
        <v>2538</v>
      </c>
      <c r="F3880" t="s">
        <v>13</v>
      </c>
      <c r="G3880" s="20">
        <v>1</v>
      </c>
      <c r="H3880" t="s">
        <v>3403</v>
      </c>
      <c r="I3880" t="s">
        <v>4357</v>
      </c>
      <c r="J3880" s="9"/>
      <c r="K3880" s="9"/>
      <c r="L3880" s="9"/>
    </row>
    <row r="3881" spans="2:12" ht="15" x14ac:dyDescent="0.25">
      <c r="B3881" t="s">
        <v>3400</v>
      </c>
      <c r="C3881" t="s">
        <v>3401</v>
      </c>
      <c r="D3881" t="str">
        <f>HYPERLINK("https://rhld.insurance.arkansas.gov/NPILookup?Npi=1346216785","1346216785")</f>
        <v>1346216785</v>
      </c>
      <c r="E3881" t="s">
        <v>3643</v>
      </c>
      <c r="F3881" t="s">
        <v>13</v>
      </c>
      <c r="G3881" s="20">
        <v>1</v>
      </c>
      <c r="H3881" t="s">
        <v>3403</v>
      </c>
      <c r="I3881" t="s">
        <v>32</v>
      </c>
      <c r="J3881" s="9"/>
      <c r="K3881" s="9"/>
      <c r="L3881" s="9"/>
    </row>
    <row r="3882" spans="2:12" ht="15" x14ac:dyDescent="0.25">
      <c r="B3882" t="s">
        <v>3400</v>
      </c>
      <c r="C3882" t="s">
        <v>3401</v>
      </c>
      <c r="D3882" t="str">
        <f>HYPERLINK("https://rhld.insurance.arkansas.gov/NPILookup?Npi=1346232055","1346232055")</f>
        <v>1346232055</v>
      </c>
      <c r="E3882" t="s">
        <v>3644</v>
      </c>
      <c r="F3882" t="s">
        <v>13</v>
      </c>
      <c r="G3882" s="20">
        <v>1</v>
      </c>
      <c r="H3882" t="s">
        <v>4357</v>
      </c>
      <c r="I3882" t="s">
        <v>4357</v>
      </c>
      <c r="J3882" s="9"/>
      <c r="K3882" s="9"/>
      <c r="L3882" s="9"/>
    </row>
    <row r="3883" spans="2:12" ht="15" x14ac:dyDescent="0.25">
      <c r="B3883" t="s">
        <v>3400</v>
      </c>
      <c r="C3883" t="s">
        <v>3401</v>
      </c>
      <c r="D3883" t="str">
        <f>HYPERLINK("https://rhld.insurance.arkansas.gov/NPILookup?Npi=1346235611","1346235611")</f>
        <v>1346235611</v>
      </c>
      <c r="E3883" t="s">
        <v>3645</v>
      </c>
      <c r="F3883" t="s">
        <v>12</v>
      </c>
      <c r="G3883" s="20">
        <v>1</v>
      </c>
      <c r="H3883" t="s">
        <v>4338</v>
      </c>
      <c r="I3883" t="s">
        <v>32</v>
      </c>
      <c r="J3883" s="9"/>
      <c r="K3883" s="9"/>
      <c r="L3883" s="9"/>
    </row>
    <row r="3884" spans="2:12" ht="15" x14ac:dyDescent="0.25">
      <c r="B3884" t="s">
        <v>3400</v>
      </c>
      <c r="C3884" t="s">
        <v>3401</v>
      </c>
      <c r="D3884" t="str">
        <f>HYPERLINK("https://rhld.insurance.arkansas.gov/NPILookup?Npi=1346276441","1346276441")</f>
        <v>1346276441</v>
      </c>
      <c r="E3884" t="s">
        <v>3646</v>
      </c>
      <c r="F3884" t="s">
        <v>12</v>
      </c>
      <c r="G3884" s="20">
        <v>1</v>
      </c>
      <c r="H3884" t="s">
        <v>4338</v>
      </c>
      <c r="I3884" t="s">
        <v>32</v>
      </c>
      <c r="J3884" s="9"/>
      <c r="K3884" s="9"/>
      <c r="L3884" s="9"/>
    </row>
    <row r="3885" spans="2:12" ht="15" x14ac:dyDescent="0.25">
      <c r="B3885" t="s">
        <v>3400</v>
      </c>
      <c r="C3885" t="s">
        <v>3401</v>
      </c>
      <c r="D3885" t="str">
        <f>HYPERLINK("https://rhld.insurance.arkansas.gov/NPILookup?Npi=1346300969","1346300969")</f>
        <v>1346300969</v>
      </c>
      <c r="E3885" t="s">
        <v>570</v>
      </c>
      <c r="F3885" t="s">
        <v>13</v>
      </c>
      <c r="G3885" s="20">
        <v>1</v>
      </c>
      <c r="H3885" t="s">
        <v>3403</v>
      </c>
      <c r="I3885" t="s">
        <v>4357</v>
      </c>
      <c r="J3885" s="9"/>
      <c r="K3885" s="9"/>
      <c r="L3885" s="9"/>
    </row>
    <row r="3886" spans="2:12" ht="15" x14ac:dyDescent="0.25">
      <c r="B3886" t="s">
        <v>3400</v>
      </c>
      <c r="C3886" t="s">
        <v>3401</v>
      </c>
      <c r="D3886" t="str">
        <f>HYPERLINK("https://rhld.insurance.arkansas.gov/NPILookup?Npi=1346307535","1346307535")</f>
        <v>1346307535</v>
      </c>
      <c r="E3886" t="s">
        <v>3647</v>
      </c>
      <c r="F3886" t="s">
        <v>13</v>
      </c>
      <c r="G3886" s="20">
        <v>1</v>
      </c>
      <c r="H3886" t="s">
        <v>87</v>
      </c>
      <c r="I3886" t="s">
        <v>32</v>
      </c>
      <c r="J3886" s="9"/>
      <c r="K3886" s="9"/>
      <c r="L3886" s="9"/>
    </row>
    <row r="3887" spans="2:12" ht="15" x14ac:dyDescent="0.25">
      <c r="B3887" t="s">
        <v>3400</v>
      </c>
      <c r="C3887" t="s">
        <v>3401</v>
      </c>
      <c r="D3887" t="str">
        <f>HYPERLINK("https://rhld.insurance.arkansas.gov/NPILookup?Npi=1346359478","1346359478")</f>
        <v>1346359478</v>
      </c>
      <c r="E3887" t="s">
        <v>3648</v>
      </c>
      <c r="F3887" t="s">
        <v>12</v>
      </c>
      <c r="G3887" s="20">
        <v>1</v>
      </c>
      <c r="H3887" t="s">
        <v>4338</v>
      </c>
      <c r="I3887" t="s">
        <v>32</v>
      </c>
      <c r="J3887" s="9"/>
      <c r="K3887" s="9"/>
      <c r="L3887" s="9"/>
    </row>
    <row r="3888" spans="2:12" ht="15" x14ac:dyDescent="0.25">
      <c r="B3888" t="s">
        <v>3400</v>
      </c>
      <c r="C3888" t="s">
        <v>3401</v>
      </c>
      <c r="D3888" t="str">
        <f>HYPERLINK("https://rhld.insurance.arkansas.gov/NPILookup?Npi=1346404001","1346404001")</f>
        <v>1346404001</v>
      </c>
      <c r="E3888" t="s">
        <v>2542</v>
      </c>
      <c r="F3888" t="s">
        <v>13</v>
      </c>
      <c r="G3888" s="20">
        <v>1</v>
      </c>
      <c r="H3888" t="s">
        <v>3403</v>
      </c>
      <c r="I3888" t="s">
        <v>4357</v>
      </c>
      <c r="J3888" s="9"/>
      <c r="K3888" s="9"/>
      <c r="L3888" s="9"/>
    </row>
    <row r="3889" spans="2:12" ht="15" x14ac:dyDescent="0.25">
      <c r="B3889" t="s">
        <v>3400</v>
      </c>
      <c r="C3889" t="s">
        <v>3401</v>
      </c>
      <c r="D3889" t="str">
        <f>HYPERLINK("https://rhld.insurance.arkansas.gov/NPILookup?Npi=1346536893","1346536893")</f>
        <v>1346536893</v>
      </c>
      <c r="E3889" t="s">
        <v>3649</v>
      </c>
      <c r="F3889" t="s">
        <v>12</v>
      </c>
      <c r="G3889" s="20">
        <v>1</v>
      </c>
      <c r="H3889" t="s">
        <v>4338</v>
      </c>
      <c r="I3889" t="s">
        <v>32</v>
      </c>
      <c r="J3889" s="9"/>
      <c r="K3889" s="9"/>
      <c r="L3889" s="9"/>
    </row>
    <row r="3890" spans="2:12" ht="15" x14ac:dyDescent="0.25">
      <c r="B3890" t="s">
        <v>3400</v>
      </c>
      <c r="C3890" t="s">
        <v>3401</v>
      </c>
      <c r="D3890" t="str">
        <f>HYPERLINK("https://rhld.insurance.arkansas.gov/NPILookup?Npi=1346542867","1346542867")</f>
        <v>1346542867</v>
      </c>
      <c r="E3890" t="s">
        <v>2543</v>
      </c>
      <c r="F3890" t="s">
        <v>13</v>
      </c>
      <c r="G3890" s="20">
        <v>1</v>
      </c>
      <c r="H3890" t="s">
        <v>4357</v>
      </c>
      <c r="I3890" t="s">
        <v>4357</v>
      </c>
      <c r="J3890" s="9"/>
      <c r="K3890" s="9"/>
      <c r="L3890" s="9"/>
    </row>
    <row r="3891" spans="2:12" ht="15" x14ac:dyDescent="0.25">
      <c r="B3891" t="s">
        <v>3400</v>
      </c>
      <c r="C3891" t="s">
        <v>3401</v>
      </c>
      <c r="D3891" t="str">
        <f>HYPERLINK("https://rhld.insurance.arkansas.gov/NPILookup?Npi=1346561461","1346561461")</f>
        <v>1346561461</v>
      </c>
      <c r="E3891" t="s">
        <v>3650</v>
      </c>
      <c r="F3891" t="s">
        <v>13</v>
      </c>
      <c r="G3891" s="20">
        <v>1</v>
      </c>
      <c r="H3891" t="s">
        <v>3403</v>
      </c>
      <c r="I3891" t="s">
        <v>32</v>
      </c>
      <c r="J3891" s="9"/>
      <c r="K3891" s="9"/>
      <c r="L3891" s="9"/>
    </row>
    <row r="3892" spans="2:12" ht="15" x14ac:dyDescent="0.25">
      <c r="B3892" t="s">
        <v>3400</v>
      </c>
      <c r="C3892" t="s">
        <v>3401</v>
      </c>
      <c r="D3892" t="str">
        <f>HYPERLINK("https://rhld.insurance.arkansas.gov/NPILookup?Npi=1346593852","1346593852")</f>
        <v>1346593852</v>
      </c>
      <c r="E3892" t="s">
        <v>2545</v>
      </c>
      <c r="F3892" t="s">
        <v>13</v>
      </c>
      <c r="G3892" s="20">
        <v>1</v>
      </c>
      <c r="H3892" t="s">
        <v>3403</v>
      </c>
      <c r="I3892" t="s">
        <v>4357</v>
      </c>
      <c r="J3892" s="9"/>
      <c r="K3892" s="9"/>
      <c r="L3892" s="9"/>
    </row>
    <row r="3893" spans="2:12" ht="15" x14ac:dyDescent="0.25">
      <c r="B3893" t="s">
        <v>3400</v>
      </c>
      <c r="C3893" t="s">
        <v>3401</v>
      </c>
      <c r="D3893" t="str">
        <f>HYPERLINK("https://rhld.insurance.arkansas.gov/NPILookup?Npi=1346712106","1346712106")</f>
        <v>1346712106</v>
      </c>
      <c r="E3893" t="s">
        <v>3651</v>
      </c>
      <c r="F3893" t="s">
        <v>13</v>
      </c>
      <c r="G3893" s="20">
        <v>1</v>
      </c>
      <c r="H3893" t="s">
        <v>87</v>
      </c>
      <c r="I3893" t="s">
        <v>4357</v>
      </c>
      <c r="J3893" s="9"/>
      <c r="K3893" s="9"/>
      <c r="L3893" s="9"/>
    </row>
    <row r="3894" spans="2:12" ht="15" x14ac:dyDescent="0.25">
      <c r="B3894" t="s">
        <v>3400</v>
      </c>
      <c r="C3894" t="s">
        <v>3401</v>
      </c>
      <c r="D3894" t="str">
        <f>HYPERLINK("https://rhld.insurance.arkansas.gov/NPILookup?Npi=1346822384","1346822384")</f>
        <v>1346822384</v>
      </c>
      <c r="E3894" t="s">
        <v>2547</v>
      </c>
      <c r="F3894" t="s">
        <v>13</v>
      </c>
      <c r="G3894" s="20">
        <v>1</v>
      </c>
      <c r="H3894" t="s">
        <v>4357</v>
      </c>
      <c r="I3894" t="s">
        <v>4357</v>
      </c>
      <c r="J3894" s="9"/>
      <c r="K3894" s="9"/>
      <c r="L3894" s="9"/>
    </row>
    <row r="3895" spans="2:12" ht="15" x14ac:dyDescent="0.25">
      <c r="B3895" t="s">
        <v>3400</v>
      </c>
      <c r="C3895" t="s">
        <v>3401</v>
      </c>
      <c r="D3895" t="str">
        <f>HYPERLINK("https://rhld.insurance.arkansas.gov/NPILookup?Npi=1346874609","1346874609")</f>
        <v>1346874609</v>
      </c>
      <c r="E3895" t="s">
        <v>3652</v>
      </c>
      <c r="F3895" t="s">
        <v>13</v>
      </c>
      <c r="G3895" s="20">
        <v>1</v>
      </c>
      <c r="H3895" t="s">
        <v>3403</v>
      </c>
      <c r="I3895" t="s">
        <v>4357</v>
      </c>
      <c r="J3895" s="9"/>
      <c r="K3895" s="9"/>
      <c r="L3895" s="9"/>
    </row>
    <row r="3896" spans="2:12" ht="15" x14ac:dyDescent="0.25">
      <c r="B3896" t="s">
        <v>3400</v>
      </c>
      <c r="C3896" t="s">
        <v>3401</v>
      </c>
      <c r="D3896" t="str">
        <f>HYPERLINK("https://rhld.insurance.arkansas.gov/NPILookup?Npi=1346879079","1346879079")</f>
        <v>1346879079</v>
      </c>
      <c r="E3896" t="s">
        <v>2548</v>
      </c>
      <c r="F3896" t="s">
        <v>13</v>
      </c>
      <c r="G3896" s="20">
        <v>1</v>
      </c>
      <c r="H3896" t="s">
        <v>4357</v>
      </c>
      <c r="I3896" t="s">
        <v>4357</v>
      </c>
      <c r="J3896" s="9"/>
      <c r="K3896" s="9"/>
      <c r="L3896" s="9"/>
    </row>
    <row r="3897" spans="2:12" ht="15" x14ac:dyDescent="0.25">
      <c r="B3897" t="s">
        <v>3400</v>
      </c>
      <c r="C3897" t="s">
        <v>3401</v>
      </c>
      <c r="D3897" t="str">
        <f>HYPERLINK("https://rhld.insurance.arkansas.gov/NPILookup?Npi=1346928975","1346928975")</f>
        <v>1346928975</v>
      </c>
      <c r="E3897" t="s">
        <v>3653</v>
      </c>
      <c r="F3897" t="s">
        <v>13</v>
      </c>
      <c r="G3897" s="20">
        <v>1</v>
      </c>
      <c r="H3897" t="s">
        <v>3403</v>
      </c>
      <c r="I3897" t="s">
        <v>32</v>
      </c>
      <c r="J3897" s="9"/>
      <c r="K3897" s="9"/>
      <c r="L3897" s="9"/>
    </row>
    <row r="3898" spans="2:12" ht="15" x14ac:dyDescent="0.25">
      <c r="B3898" t="s">
        <v>3400</v>
      </c>
      <c r="C3898" t="s">
        <v>3401</v>
      </c>
      <c r="D3898" t="str">
        <f>HYPERLINK("https://rhld.insurance.arkansas.gov/NPILookup?Npi=1346963519","1346963519")</f>
        <v>1346963519</v>
      </c>
      <c r="E3898" t="s">
        <v>3654</v>
      </c>
      <c r="F3898" t="s">
        <v>13</v>
      </c>
      <c r="G3898" s="20">
        <v>1</v>
      </c>
      <c r="H3898" t="s">
        <v>3403</v>
      </c>
      <c r="I3898" t="s">
        <v>4357</v>
      </c>
      <c r="J3898" s="9"/>
      <c r="K3898" s="9"/>
      <c r="L3898" s="9"/>
    </row>
    <row r="3899" spans="2:12" ht="15" x14ac:dyDescent="0.25">
      <c r="B3899" t="s">
        <v>3400</v>
      </c>
      <c r="C3899" t="s">
        <v>3401</v>
      </c>
      <c r="D3899" t="str">
        <f>HYPERLINK("https://rhld.insurance.arkansas.gov/NPILookup?Npi=1346972437","1346972437")</f>
        <v>1346972437</v>
      </c>
      <c r="E3899" t="s">
        <v>2549</v>
      </c>
      <c r="F3899" t="s">
        <v>13</v>
      </c>
      <c r="G3899" s="20">
        <v>1</v>
      </c>
      <c r="H3899" t="s">
        <v>3403</v>
      </c>
      <c r="I3899" t="s">
        <v>32</v>
      </c>
      <c r="J3899" s="9"/>
      <c r="K3899" s="9"/>
      <c r="L3899" s="9"/>
    </row>
    <row r="3900" spans="2:12" ht="15" x14ac:dyDescent="0.25">
      <c r="B3900" t="s">
        <v>3400</v>
      </c>
      <c r="C3900" t="s">
        <v>3401</v>
      </c>
      <c r="D3900" t="str">
        <f>HYPERLINK("https://rhld.insurance.arkansas.gov/NPILookup?Npi=1346993441","1346993441")</f>
        <v>1346993441</v>
      </c>
      <c r="E3900" t="s">
        <v>3655</v>
      </c>
      <c r="F3900" t="s">
        <v>13</v>
      </c>
      <c r="G3900" s="20">
        <v>1</v>
      </c>
      <c r="H3900" t="s">
        <v>3403</v>
      </c>
      <c r="I3900" t="s">
        <v>4357</v>
      </c>
      <c r="J3900" s="9"/>
      <c r="K3900" s="9"/>
      <c r="L3900" s="9"/>
    </row>
    <row r="3901" spans="2:12" ht="15" x14ac:dyDescent="0.25">
      <c r="B3901" t="s">
        <v>3400</v>
      </c>
      <c r="C3901" t="s">
        <v>3401</v>
      </c>
      <c r="D3901" t="str">
        <f>HYPERLINK("https://rhld.insurance.arkansas.gov/NPILookup?Npi=1356015465","1356015465")</f>
        <v>1356015465</v>
      </c>
      <c r="E3901" t="s">
        <v>3656</v>
      </c>
      <c r="F3901" t="s">
        <v>13</v>
      </c>
      <c r="G3901" s="20">
        <v>1</v>
      </c>
      <c r="H3901" t="s">
        <v>3403</v>
      </c>
      <c r="I3901" t="s">
        <v>32</v>
      </c>
      <c r="J3901" s="9"/>
      <c r="K3901" s="9"/>
      <c r="L3901" s="9"/>
    </row>
    <row r="3902" spans="2:12" ht="15" x14ac:dyDescent="0.25">
      <c r="B3902" t="s">
        <v>3400</v>
      </c>
      <c r="C3902" t="s">
        <v>3401</v>
      </c>
      <c r="D3902" t="str">
        <f>HYPERLINK("https://rhld.insurance.arkansas.gov/NPILookup?Npi=1356042964","1356042964")</f>
        <v>1356042964</v>
      </c>
      <c r="E3902" t="s">
        <v>2552</v>
      </c>
      <c r="F3902" t="s">
        <v>13</v>
      </c>
      <c r="G3902" s="20">
        <v>1</v>
      </c>
      <c r="H3902" t="s">
        <v>4357</v>
      </c>
      <c r="I3902" t="s">
        <v>4357</v>
      </c>
      <c r="J3902" s="9"/>
      <c r="K3902" s="9"/>
      <c r="L3902" s="9"/>
    </row>
    <row r="3903" spans="2:12" ht="15" x14ac:dyDescent="0.25">
      <c r="B3903" t="s">
        <v>3400</v>
      </c>
      <c r="C3903" t="s">
        <v>3401</v>
      </c>
      <c r="D3903" t="str">
        <f>HYPERLINK("https://rhld.insurance.arkansas.gov/NPILookup?Npi=1356157481","1356157481")</f>
        <v>1356157481</v>
      </c>
      <c r="E3903" t="s">
        <v>2553</v>
      </c>
      <c r="F3903" t="s">
        <v>13</v>
      </c>
      <c r="G3903" s="20">
        <v>1</v>
      </c>
      <c r="H3903" t="s">
        <v>4357</v>
      </c>
      <c r="I3903" t="s">
        <v>4357</v>
      </c>
      <c r="J3903" s="9"/>
      <c r="K3903" s="9"/>
      <c r="L3903" s="9"/>
    </row>
    <row r="3904" spans="2:12" ht="15" x14ac:dyDescent="0.25">
      <c r="B3904" t="s">
        <v>3400</v>
      </c>
      <c r="C3904" t="s">
        <v>3401</v>
      </c>
      <c r="D3904" t="str">
        <f>HYPERLINK("https://rhld.insurance.arkansas.gov/NPILookup?Npi=1356168132","1356168132")</f>
        <v>1356168132</v>
      </c>
      <c r="E3904" t="s">
        <v>2554</v>
      </c>
      <c r="F3904" t="s">
        <v>13</v>
      </c>
      <c r="G3904" s="20">
        <v>1</v>
      </c>
      <c r="H3904" t="s">
        <v>4357</v>
      </c>
      <c r="I3904" t="s">
        <v>4357</v>
      </c>
      <c r="J3904" s="9"/>
      <c r="K3904" s="9"/>
      <c r="L3904" s="9"/>
    </row>
    <row r="3905" spans="2:12" ht="15" x14ac:dyDescent="0.25">
      <c r="B3905" t="s">
        <v>3400</v>
      </c>
      <c r="C3905" t="s">
        <v>3401</v>
      </c>
      <c r="D3905" t="str">
        <f>HYPERLINK("https://rhld.insurance.arkansas.gov/NPILookup?Npi=1356301147","1356301147")</f>
        <v>1356301147</v>
      </c>
      <c r="E3905" t="s">
        <v>3657</v>
      </c>
      <c r="F3905" t="s">
        <v>13</v>
      </c>
      <c r="G3905" s="20">
        <v>1</v>
      </c>
      <c r="H3905" t="s">
        <v>3403</v>
      </c>
      <c r="I3905" t="s">
        <v>32</v>
      </c>
      <c r="J3905" s="9"/>
      <c r="K3905" s="9"/>
      <c r="L3905" s="9"/>
    </row>
    <row r="3906" spans="2:12" ht="15" x14ac:dyDescent="0.25">
      <c r="B3906" t="s">
        <v>3400</v>
      </c>
      <c r="C3906" t="s">
        <v>3401</v>
      </c>
      <c r="D3906" t="str">
        <f>HYPERLINK("https://rhld.insurance.arkansas.gov/NPILookup?Npi=1356328520","1356328520")</f>
        <v>1356328520</v>
      </c>
      <c r="E3906" t="s">
        <v>3658</v>
      </c>
      <c r="F3906" t="s">
        <v>13</v>
      </c>
      <c r="G3906" s="20">
        <v>1</v>
      </c>
      <c r="H3906" t="s">
        <v>3403</v>
      </c>
      <c r="I3906" t="s">
        <v>32</v>
      </c>
      <c r="J3906" s="9"/>
      <c r="K3906" s="9"/>
      <c r="L3906" s="9"/>
    </row>
    <row r="3907" spans="2:12" ht="15" x14ac:dyDescent="0.25">
      <c r="B3907" t="s">
        <v>3400</v>
      </c>
      <c r="C3907" t="s">
        <v>3401</v>
      </c>
      <c r="D3907" t="str">
        <f>HYPERLINK("https://rhld.insurance.arkansas.gov/NPILookup?Npi=1356338131","1356338131")</f>
        <v>1356338131</v>
      </c>
      <c r="E3907" t="s">
        <v>3659</v>
      </c>
      <c r="F3907" t="s">
        <v>12</v>
      </c>
      <c r="G3907" s="20">
        <v>1</v>
      </c>
      <c r="H3907" t="s">
        <v>4338</v>
      </c>
      <c r="I3907" t="s">
        <v>32</v>
      </c>
      <c r="J3907" s="9"/>
      <c r="K3907" s="9"/>
      <c r="L3907" s="9"/>
    </row>
    <row r="3908" spans="2:12" ht="15" x14ac:dyDescent="0.25">
      <c r="B3908" t="s">
        <v>3400</v>
      </c>
      <c r="C3908" t="s">
        <v>3401</v>
      </c>
      <c r="D3908" t="str">
        <f>HYPERLINK("https://rhld.insurance.arkansas.gov/NPILookup?Npi=1356373286","1356373286")</f>
        <v>1356373286</v>
      </c>
      <c r="E3908" t="s">
        <v>3660</v>
      </c>
      <c r="F3908" t="s">
        <v>13</v>
      </c>
      <c r="G3908" s="20">
        <v>1</v>
      </c>
      <c r="H3908" t="s">
        <v>3403</v>
      </c>
      <c r="I3908" t="s">
        <v>32</v>
      </c>
      <c r="J3908" s="9"/>
      <c r="K3908" s="9"/>
      <c r="L3908" s="9"/>
    </row>
    <row r="3909" spans="2:12" ht="15" x14ac:dyDescent="0.25">
      <c r="B3909" t="s">
        <v>3400</v>
      </c>
      <c r="C3909" t="s">
        <v>3401</v>
      </c>
      <c r="D3909" t="str">
        <f>HYPERLINK("https://rhld.insurance.arkansas.gov/NPILookup?Npi=1356431910","1356431910")</f>
        <v>1356431910</v>
      </c>
      <c r="E3909" t="s">
        <v>3661</v>
      </c>
      <c r="F3909" t="s">
        <v>12</v>
      </c>
      <c r="G3909" s="20">
        <v>1</v>
      </c>
      <c r="H3909" t="s">
        <v>4338</v>
      </c>
      <c r="I3909" t="s">
        <v>32</v>
      </c>
      <c r="J3909" s="9"/>
      <c r="K3909" s="9"/>
      <c r="L3909" s="9"/>
    </row>
    <row r="3910" spans="2:12" ht="15" x14ac:dyDescent="0.25">
      <c r="B3910" t="s">
        <v>3400</v>
      </c>
      <c r="C3910" t="s">
        <v>3401</v>
      </c>
      <c r="D3910" t="str">
        <f>HYPERLINK("https://rhld.insurance.arkansas.gov/NPILookup?Npi=1356489272","1356489272")</f>
        <v>1356489272</v>
      </c>
      <c r="E3910" t="s">
        <v>2559</v>
      </c>
      <c r="F3910" t="s">
        <v>13</v>
      </c>
      <c r="G3910" s="20">
        <v>1</v>
      </c>
      <c r="H3910" t="s">
        <v>3403</v>
      </c>
      <c r="I3910" t="s">
        <v>4357</v>
      </c>
      <c r="J3910" s="9"/>
      <c r="K3910" s="9"/>
      <c r="L3910" s="9"/>
    </row>
    <row r="3911" spans="2:12" ht="15" x14ac:dyDescent="0.25">
      <c r="B3911" t="s">
        <v>3400</v>
      </c>
      <c r="C3911" t="s">
        <v>3401</v>
      </c>
      <c r="D3911" t="str">
        <f>HYPERLINK("https://rhld.insurance.arkansas.gov/NPILookup?Npi=1356502710","1356502710")</f>
        <v>1356502710</v>
      </c>
      <c r="E3911" t="s">
        <v>3662</v>
      </c>
      <c r="F3911" t="s">
        <v>13</v>
      </c>
      <c r="G3911" s="20">
        <v>1</v>
      </c>
      <c r="H3911" t="s">
        <v>3403</v>
      </c>
      <c r="I3911" t="s">
        <v>32</v>
      </c>
      <c r="J3911" s="9"/>
      <c r="K3911" s="9"/>
      <c r="L3911" s="9"/>
    </row>
    <row r="3912" spans="2:12" ht="15" x14ac:dyDescent="0.25">
      <c r="B3912" t="s">
        <v>3400</v>
      </c>
      <c r="C3912" t="s">
        <v>3401</v>
      </c>
      <c r="D3912" t="str">
        <f>HYPERLINK("https://rhld.insurance.arkansas.gov/NPILookup?Npi=1356513394","1356513394")</f>
        <v>1356513394</v>
      </c>
      <c r="E3912" t="s">
        <v>2560</v>
      </c>
      <c r="F3912" t="s">
        <v>13</v>
      </c>
      <c r="G3912" s="20">
        <v>1</v>
      </c>
      <c r="H3912" t="s">
        <v>3403</v>
      </c>
      <c r="I3912" t="s">
        <v>4357</v>
      </c>
      <c r="J3912" s="9"/>
      <c r="K3912" s="9"/>
      <c r="L3912" s="9"/>
    </row>
    <row r="3913" spans="2:12" ht="15" x14ac:dyDescent="0.25">
      <c r="B3913" t="s">
        <v>3400</v>
      </c>
      <c r="C3913" t="s">
        <v>3401</v>
      </c>
      <c r="D3913" t="str">
        <f>HYPERLINK("https://rhld.insurance.arkansas.gov/NPILookup?Npi=1356563241","1356563241")</f>
        <v>1356563241</v>
      </c>
      <c r="E3913" t="s">
        <v>3663</v>
      </c>
      <c r="F3913" t="s">
        <v>13</v>
      </c>
      <c r="G3913" s="20">
        <v>1</v>
      </c>
      <c r="H3913" t="s">
        <v>3403</v>
      </c>
      <c r="I3913" t="s">
        <v>32</v>
      </c>
      <c r="J3913" s="9"/>
      <c r="K3913" s="9"/>
      <c r="L3913" s="9"/>
    </row>
    <row r="3914" spans="2:12" ht="15" x14ac:dyDescent="0.25">
      <c r="B3914" t="s">
        <v>3400</v>
      </c>
      <c r="C3914" t="s">
        <v>3401</v>
      </c>
      <c r="D3914" t="str">
        <f>HYPERLINK("https://rhld.insurance.arkansas.gov/NPILookup?Npi=1356581151","1356581151")</f>
        <v>1356581151</v>
      </c>
      <c r="E3914" t="s">
        <v>3664</v>
      </c>
      <c r="F3914" t="s">
        <v>13</v>
      </c>
      <c r="G3914" s="20">
        <v>1</v>
      </c>
      <c r="H3914" t="s">
        <v>3403</v>
      </c>
      <c r="I3914" t="s">
        <v>32</v>
      </c>
      <c r="J3914" s="9"/>
      <c r="K3914" s="9"/>
      <c r="L3914" s="9"/>
    </row>
    <row r="3915" spans="2:12" ht="15" x14ac:dyDescent="0.25">
      <c r="B3915" t="s">
        <v>3400</v>
      </c>
      <c r="C3915" t="s">
        <v>3401</v>
      </c>
      <c r="D3915" t="str">
        <f>HYPERLINK("https://rhld.insurance.arkansas.gov/NPILookup?Npi=1356600829","1356600829")</f>
        <v>1356600829</v>
      </c>
      <c r="E3915" t="s">
        <v>3665</v>
      </c>
      <c r="F3915" t="s">
        <v>13</v>
      </c>
      <c r="G3915" s="20">
        <v>1</v>
      </c>
      <c r="H3915" t="s">
        <v>3403</v>
      </c>
      <c r="I3915" t="s">
        <v>32</v>
      </c>
      <c r="J3915" s="9"/>
      <c r="K3915" s="9"/>
      <c r="L3915" s="9"/>
    </row>
    <row r="3916" spans="2:12" ht="15" x14ac:dyDescent="0.25">
      <c r="B3916" t="s">
        <v>3400</v>
      </c>
      <c r="C3916" t="s">
        <v>3401</v>
      </c>
      <c r="D3916" t="str">
        <f>HYPERLINK("https://rhld.insurance.arkansas.gov/NPILookup?Npi=1356810246","1356810246")</f>
        <v>1356810246</v>
      </c>
      <c r="E3916" t="s">
        <v>3666</v>
      </c>
      <c r="F3916" t="s">
        <v>13</v>
      </c>
      <c r="G3916" s="20">
        <v>1</v>
      </c>
      <c r="H3916" t="s">
        <v>3403</v>
      </c>
      <c r="I3916" t="s">
        <v>4357</v>
      </c>
      <c r="J3916" s="9"/>
      <c r="K3916" s="9"/>
      <c r="L3916" s="9"/>
    </row>
    <row r="3917" spans="2:12" ht="15" x14ac:dyDescent="0.25">
      <c r="B3917" t="s">
        <v>3400</v>
      </c>
      <c r="C3917" t="s">
        <v>3401</v>
      </c>
      <c r="D3917" t="str">
        <f>HYPERLINK("https://rhld.insurance.arkansas.gov/NPILookup?Npi=1356978142","1356978142")</f>
        <v>1356978142</v>
      </c>
      <c r="E3917" t="s">
        <v>3667</v>
      </c>
      <c r="F3917" t="s">
        <v>13</v>
      </c>
      <c r="G3917" s="20">
        <v>1</v>
      </c>
      <c r="H3917" t="s">
        <v>3403</v>
      </c>
      <c r="I3917" t="s">
        <v>4357</v>
      </c>
      <c r="J3917" s="9"/>
      <c r="K3917" s="9"/>
      <c r="L3917" s="9"/>
    </row>
    <row r="3918" spans="2:12" ht="15" x14ac:dyDescent="0.25">
      <c r="B3918" t="s">
        <v>3400</v>
      </c>
      <c r="C3918" t="s">
        <v>3401</v>
      </c>
      <c r="D3918" t="str">
        <f>HYPERLINK("https://rhld.insurance.arkansas.gov/NPILookup?Npi=1366070765","1366070765")</f>
        <v>1366070765</v>
      </c>
      <c r="E3918" t="s">
        <v>1210</v>
      </c>
      <c r="F3918" t="s">
        <v>13</v>
      </c>
      <c r="G3918" s="20">
        <v>1</v>
      </c>
      <c r="H3918" t="s">
        <v>3403</v>
      </c>
      <c r="I3918" t="s">
        <v>32</v>
      </c>
      <c r="J3918" s="9"/>
      <c r="K3918" s="9"/>
      <c r="L3918" s="9"/>
    </row>
    <row r="3919" spans="2:12" ht="15" x14ac:dyDescent="0.25">
      <c r="B3919" t="s">
        <v>3400</v>
      </c>
      <c r="C3919" t="s">
        <v>3401</v>
      </c>
      <c r="D3919" t="str">
        <f>HYPERLINK("https://rhld.insurance.arkansas.gov/NPILookup?Npi=1366258774","1366258774")</f>
        <v>1366258774</v>
      </c>
      <c r="E3919" t="s">
        <v>2567</v>
      </c>
      <c r="F3919" t="s">
        <v>13</v>
      </c>
      <c r="G3919" s="20">
        <v>1</v>
      </c>
      <c r="H3919" t="s">
        <v>4357</v>
      </c>
      <c r="I3919" t="s">
        <v>4357</v>
      </c>
      <c r="J3919" s="9"/>
      <c r="K3919" s="9"/>
      <c r="L3919" s="9"/>
    </row>
    <row r="3920" spans="2:12" ht="15" x14ac:dyDescent="0.25">
      <c r="B3920" t="s">
        <v>3400</v>
      </c>
      <c r="C3920" t="s">
        <v>3401</v>
      </c>
      <c r="D3920" t="str">
        <f>HYPERLINK("https://rhld.insurance.arkansas.gov/NPILookup?Npi=1366268930","1366268930")</f>
        <v>1366268930</v>
      </c>
      <c r="E3920" t="s">
        <v>2568</v>
      </c>
      <c r="F3920" t="s">
        <v>13</v>
      </c>
      <c r="G3920" s="20">
        <v>1</v>
      </c>
      <c r="H3920" t="s">
        <v>4357</v>
      </c>
      <c r="I3920" t="s">
        <v>4357</v>
      </c>
      <c r="J3920" s="9"/>
      <c r="K3920" s="9"/>
      <c r="L3920" s="9"/>
    </row>
    <row r="3921" spans="2:12" ht="15" x14ac:dyDescent="0.25">
      <c r="B3921" t="s">
        <v>3400</v>
      </c>
      <c r="C3921" t="s">
        <v>3401</v>
      </c>
      <c r="D3921" t="str">
        <f>HYPERLINK("https://rhld.insurance.arkansas.gov/NPILookup?Npi=1366285546","1366285546")</f>
        <v>1366285546</v>
      </c>
      <c r="E3921" t="s">
        <v>2569</v>
      </c>
      <c r="F3921" t="s">
        <v>13</v>
      </c>
      <c r="G3921" s="20">
        <v>1</v>
      </c>
      <c r="H3921" t="s">
        <v>4357</v>
      </c>
      <c r="I3921" t="s">
        <v>4357</v>
      </c>
      <c r="J3921" s="9"/>
      <c r="K3921" s="9"/>
      <c r="L3921" s="9"/>
    </row>
    <row r="3922" spans="2:12" ht="15" x14ac:dyDescent="0.25">
      <c r="B3922" t="s">
        <v>3400</v>
      </c>
      <c r="C3922" t="s">
        <v>3401</v>
      </c>
      <c r="D3922" t="str">
        <f>HYPERLINK("https://rhld.insurance.arkansas.gov/NPILookup?Npi=1366403479","1366403479")</f>
        <v>1366403479</v>
      </c>
      <c r="E3922" t="s">
        <v>575</v>
      </c>
      <c r="F3922" t="s">
        <v>13</v>
      </c>
      <c r="G3922" s="20">
        <v>1</v>
      </c>
      <c r="H3922" t="s">
        <v>3403</v>
      </c>
      <c r="I3922" t="s">
        <v>32</v>
      </c>
      <c r="J3922" s="9"/>
      <c r="K3922" s="9"/>
      <c r="L3922" s="9"/>
    </row>
    <row r="3923" spans="2:12" ht="15" x14ac:dyDescent="0.25">
      <c r="B3923" t="s">
        <v>3400</v>
      </c>
      <c r="C3923" t="s">
        <v>3401</v>
      </c>
      <c r="D3923" t="str">
        <f>HYPERLINK("https://rhld.insurance.arkansas.gov/NPILookup?Npi=1366470205","1366470205")</f>
        <v>1366470205</v>
      </c>
      <c r="E3923" t="s">
        <v>2571</v>
      </c>
      <c r="F3923" t="s">
        <v>13</v>
      </c>
      <c r="G3923" s="20">
        <v>1</v>
      </c>
      <c r="H3923" t="s">
        <v>3403</v>
      </c>
      <c r="I3923" t="s">
        <v>4357</v>
      </c>
      <c r="J3923" s="9"/>
      <c r="K3923" s="9"/>
      <c r="L3923" s="9"/>
    </row>
    <row r="3924" spans="2:12" ht="15" x14ac:dyDescent="0.25">
      <c r="B3924" t="s">
        <v>3400</v>
      </c>
      <c r="C3924" t="s">
        <v>3401</v>
      </c>
      <c r="D3924" t="str">
        <f>HYPERLINK("https://rhld.insurance.arkansas.gov/NPILookup?Npi=1366472144","1366472144")</f>
        <v>1366472144</v>
      </c>
      <c r="E3924" t="s">
        <v>2573</v>
      </c>
      <c r="F3924" t="s">
        <v>13</v>
      </c>
      <c r="G3924" s="20">
        <v>1</v>
      </c>
      <c r="H3924" t="s">
        <v>3403</v>
      </c>
      <c r="I3924" t="s">
        <v>4357</v>
      </c>
      <c r="J3924" s="9"/>
      <c r="K3924" s="9"/>
      <c r="L3924" s="9"/>
    </row>
    <row r="3925" spans="2:12" ht="15" x14ac:dyDescent="0.25">
      <c r="B3925" t="s">
        <v>3400</v>
      </c>
      <c r="C3925" t="s">
        <v>3401</v>
      </c>
      <c r="D3925" t="str">
        <f>HYPERLINK("https://rhld.insurance.arkansas.gov/NPILookup?Npi=1366511289","1366511289")</f>
        <v>1366511289</v>
      </c>
      <c r="E3925" t="s">
        <v>3668</v>
      </c>
      <c r="F3925" t="s">
        <v>13</v>
      </c>
      <c r="G3925" s="20">
        <v>1</v>
      </c>
      <c r="H3925" t="s">
        <v>3403</v>
      </c>
      <c r="I3925" t="s">
        <v>4357</v>
      </c>
      <c r="J3925" s="9"/>
      <c r="K3925" s="9"/>
      <c r="L3925" s="9"/>
    </row>
    <row r="3926" spans="2:12" ht="15" x14ac:dyDescent="0.25">
      <c r="B3926" t="s">
        <v>3400</v>
      </c>
      <c r="C3926" t="s">
        <v>3401</v>
      </c>
      <c r="D3926" t="str">
        <f>HYPERLINK("https://rhld.insurance.arkansas.gov/NPILookup?Npi=1366606923","1366606923")</f>
        <v>1366606923</v>
      </c>
      <c r="E3926" t="s">
        <v>3669</v>
      </c>
      <c r="F3926" t="s">
        <v>13</v>
      </c>
      <c r="G3926" s="20">
        <v>1</v>
      </c>
      <c r="H3926" t="s">
        <v>3403</v>
      </c>
      <c r="I3926" t="s">
        <v>4357</v>
      </c>
      <c r="J3926" s="9"/>
      <c r="K3926" s="9"/>
      <c r="L3926" s="9"/>
    </row>
    <row r="3927" spans="2:12" ht="15" x14ac:dyDescent="0.25">
      <c r="B3927" t="s">
        <v>3400</v>
      </c>
      <c r="C3927" t="s">
        <v>3401</v>
      </c>
      <c r="D3927" t="str">
        <f>HYPERLINK("https://rhld.insurance.arkansas.gov/NPILookup?Npi=1366658346","1366658346")</f>
        <v>1366658346</v>
      </c>
      <c r="E3927" t="s">
        <v>3670</v>
      </c>
      <c r="F3927" t="s">
        <v>13</v>
      </c>
      <c r="G3927" s="20">
        <v>1</v>
      </c>
      <c r="H3927" t="s">
        <v>3403</v>
      </c>
      <c r="I3927" t="s">
        <v>32</v>
      </c>
      <c r="J3927" s="9"/>
      <c r="K3927" s="9"/>
      <c r="L3927" s="9"/>
    </row>
    <row r="3928" spans="2:12" ht="15" x14ac:dyDescent="0.25">
      <c r="B3928" t="s">
        <v>3400</v>
      </c>
      <c r="C3928" t="s">
        <v>3401</v>
      </c>
      <c r="D3928" t="str">
        <f>HYPERLINK("https://rhld.insurance.arkansas.gov/NPILookup?Npi=1366763435","1366763435")</f>
        <v>1366763435</v>
      </c>
      <c r="E3928" t="s">
        <v>3671</v>
      </c>
      <c r="F3928" t="s">
        <v>13</v>
      </c>
      <c r="G3928" s="20">
        <v>1</v>
      </c>
      <c r="H3928" t="s">
        <v>3403</v>
      </c>
      <c r="I3928" t="s">
        <v>32</v>
      </c>
      <c r="J3928" s="9"/>
      <c r="K3928" s="9"/>
      <c r="L3928" s="9"/>
    </row>
    <row r="3929" spans="2:12" ht="15" x14ac:dyDescent="0.25">
      <c r="B3929" t="s">
        <v>3400</v>
      </c>
      <c r="C3929" t="s">
        <v>3401</v>
      </c>
      <c r="D3929" t="str">
        <f>HYPERLINK("https://rhld.insurance.arkansas.gov/NPILookup?Npi=1366797409","1366797409")</f>
        <v>1366797409</v>
      </c>
      <c r="E3929" t="s">
        <v>3672</v>
      </c>
      <c r="F3929" t="s">
        <v>13</v>
      </c>
      <c r="G3929" s="20">
        <v>1</v>
      </c>
      <c r="H3929" t="s">
        <v>87</v>
      </c>
      <c r="I3929" t="s">
        <v>4357</v>
      </c>
      <c r="J3929" s="9"/>
      <c r="K3929" s="9"/>
      <c r="L3929" s="9"/>
    </row>
    <row r="3930" spans="2:12" ht="15" x14ac:dyDescent="0.25">
      <c r="B3930" t="s">
        <v>3400</v>
      </c>
      <c r="C3930" t="s">
        <v>3401</v>
      </c>
      <c r="D3930" t="str">
        <f>HYPERLINK("https://rhld.insurance.arkansas.gov/NPILookup?Npi=1366828378","1366828378")</f>
        <v>1366828378</v>
      </c>
      <c r="E3930" t="s">
        <v>3673</v>
      </c>
      <c r="F3930" t="s">
        <v>13</v>
      </c>
      <c r="G3930" s="20">
        <v>1</v>
      </c>
      <c r="H3930" t="s">
        <v>3403</v>
      </c>
      <c r="I3930" t="s">
        <v>32</v>
      </c>
      <c r="J3930" s="9"/>
      <c r="K3930" s="9"/>
      <c r="L3930" s="9"/>
    </row>
    <row r="3931" spans="2:12" ht="15" x14ac:dyDescent="0.25">
      <c r="B3931" t="s">
        <v>3400</v>
      </c>
      <c r="C3931" t="s">
        <v>3401</v>
      </c>
      <c r="D3931" t="str">
        <f>HYPERLINK("https://rhld.insurance.arkansas.gov/NPILookup?Npi=1366899338","1366899338")</f>
        <v>1366899338</v>
      </c>
      <c r="E3931" t="s">
        <v>3674</v>
      </c>
      <c r="F3931" t="s">
        <v>13</v>
      </c>
      <c r="G3931" s="20">
        <v>1</v>
      </c>
      <c r="H3931" t="s">
        <v>87</v>
      </c>
      <c r="I3931" t="s">
        <v>4357</v>
      </c>
      <c r="J3931" s="9"/>
      <c r="K3931" s="9"/>
      <c r="L3931" s="9"/>
    </row>
    <row r="3932" spans="2:12" ht="15" x14ac:dyDescent="0.25">
      <c r="B3932" t="s">
        <v>3400</v>
      </c>
      <c r="C3932" t="s">
        <v>3401</v>
      </c>
      <c r="D3932" t="str">
        <f>HYPERLINK("https://rhld.insurance.arkansas.gov/NPILookup?Npi=1366954232","1366954232")</f>
        <v>1366954232</v>
      </c>
      <c r="E3932" t="s">
        <v>3675</v>
      </c>
      <c r="F3932" t="s">
        <v>13</v>
      </c>
      <c r="G3932" s="20">
        <v>1</v>
      </c>
      <c r="H3932" t="s">
        <v>3403</v>
      </c>
      <c r="I3932" t="s">
        <v>4357</v>
      </c>
      <c r="J3932" s="9"/>
      <c r="K3932" s="9"/>
      <c r="L3932" s="9"/>
    </row>
    <row r="3933" spans="2:12" ht="15" x14ac:dyDescent="0.25">
      <c r="B3933" t="s">
        <v>3400</v>
      </c>
      <c r="C3933" t="s">
        <v>3401</v>
      </c>
      <c r="D3933" t="str">
        <f>HYPERLINK("https://rhld.insurance.arkansas.gov/NPILookup?Npi=1366996886","1366996886")</f>
        <v>1366996886</v>
      </c>
      <c r="E3933" t="s">
        <v>3676</v>
      </c>
      <c r="F3933" t="s">
        <v>13</v>
      </c>
      <c r="G3933" s="20">
        <v>1</v>
      </c>
      <c r="H3933" t="s">
        <v>3403</v>
      </c>
      <c r="I3933" t="s">
        <v>4357</v>
      </c>
      <c r="J3933" s="9"/>
      <c r="K3933" s="9"/>
      <c r="L3933" s="9"/>
    </row>
    <row r="3934" spans="2:12" ht="15" x14ac:dyDescent="0.25">
      <c r="B3934" t="s">
        <v>3400</v>
      </c>
      <c r="C3934" t="s">
        <v>3401</v>
      </c>
      <c r="D3934" t="str">
        <f>HYPERLINK("https://rhld.insurance.arkansas.gov/NPILookup?Npi=1376131409","1376131409")</f>
        <v>1376131409</v>
      </c>
      <c r="E3934" t="s">
        <v>3677</v>
      </c>
      <c r="F3934" t="s">
        <v>13</v>
      </c>
      <c r="G3934" s="20">
        <v>1</v>
      </c>
      <c r="H3934" t="s">
        <v>3403</v>
      </c>
      <c r="I3934" t="s">
        <v>4357</v>
      </c>
      <c r="J3934" s="9"/>
      <c r="K3934" s="9"/>
      <c r="L3934" s="9"/>
    </row>
    <row r="3935" spans="2:12" ht="15" x14ac:dyDescent="0.25">
      <c r="B3935" t="s">
        <v>3400</v>
      </c>
      <c r="C3935" t="s">
        <v>3401</v>
      </c>
      <c r="D3935" t="str">
        <f>HYPERLINK("https://rhld.insurance.arkansas.gov/NPILookup?Npi=1376357525","1376357525")</f>
        <v>1376357525</v>
      </c>
      <c r="E3935" t="s">
        <v>2066</v>
      </c>
      <c r="F3935" t="s">
        <v>13</v>
      </c>
      <c r="G3935" s="20">
        <v>1</v>
      </c>
      <c r="H3935" t="s">
        <v>4357</v>
      </c>
      <c r="I3935" t="s">
        <v>4357</v>
      </c>
      <c r="J3935" s="9"/>
      <c r="K3935" s="9"/>
      <c r="L3935" s="9"/>
    </row>
    <row r="3936" spans="2:12" ht="15" x14ac:dyDescent="0.25">
      <c r="B3936" t="s">
        <v>3400</v>
      </c>
      <c r="C3936" t="s">
        <v>3401</v>
      </c>
      <c r="D3936" t="str">
        <f>HYPERLINK("https://rhld.insurance.arkansas.gov/NPILookup?Npi=1376572800","1376572800")</f>
        <v>1376572800</v>
      </c>
      <c r="E3936" t="s">
        <v>3678</v>
      </c>
      <c r="F3936" t="s">
        <v>13</v>
      </c>
      <c r="G3936" s="20">
        <v>1</v>
      </c>
      <c r="H3936" t="s">
        <v>3403</v>
      </c>
      <c r="I3936" t="s">
        <v>32</v>
      </c>
      <c r="J3936" s="9"/>
      <c r="K3936" s="9"/>
      <c r="L3936" s="9"/>
    </row>
    <row r="3937" spans="2:12" ht="15" x14ac:dyDescent="0.25">
      <c r="B3937" t="s">
        <v>3400</v>
      </c>
      <c r="C3937" t="s">
        <v>3401</v>
      </c>
      <c r="D3937" t="str">
        <f>HYPERLINK("https://rhld.insurance.arkansas.gov/NPILookup?Npi=1376589754","1376589754")</f>
        <v>1376589754</v>
      </c>
      <c r="E3937" t="s">
        <v>586</v>
      </c>
      <c r="F3937" t="s">
        <v>13</v>
      </c>
      <c r="G3937" s="20">
        <v>1</v>
      </c>
      <c r="H3937" t="s">
        <v>3403</v>
      </c>
      <c r="I3937" t="s">
        <v>32</v>
      </c>
      <c r="J3937" s="9"/>
      <c r="K3937" s="9"/>
      <c r="L3937" s="9"/>
    </row>
    <row r="3938" spans="2:12" ht="15" x14ac:dyDescent="0.25">
      <c r="B3938" t="s">
        <v>3400</v>
      </c>
      <c r="C3938" t="s">
        <v>3401</v>
      </c>
      <c r="D3938" t="str">
        <f>HYPERLINK("https://rhld.insurance.arkansas.gov/NPILookup?Npi=1376617274","1376617274")</f>
        <v>1376617274</v>
      </c>
      <c r="E3938" t="s">
        <v>2581</v>
      </c>
      <c r="F3938" t="s">
        <v>13</v>
      </c>
      <c r="G3938" s="20">
        <v>1</v>
      </c>
      <c r="H3938" t="s">
        <v>3403</v>
      </c>
      <c r="I3938" t="s">
        <v>4357</v>
      </c>
      <c r="J3938" s="9"/>
      <c r="K3938" s="9"/>
      <c r="L3938" s="9"/>
    </row>
    <row r="3939" spans="2:12" ht="15" x14ac:dyDescent="0.25">
      <c r="B3939" t="s">
        <v>3400</v>
      </c>
      <c r="C3939" t="s">
        <v>3401</v>
      </c>
      <c r="D3939" t="str">
        <f>HYPERLINK("https://rhld.insurance.arkansas.gov/NPILookup?Npi=1376659219","1376659219")</f>
        <v>1376659219</v>
      </c>
      <c r="E3939" t="s">
        <v>3679</v>
      </c>
      <c r="F3939" t="s">
        <v>13</v>
      </c>
      <c r="G3939" s="20">
        <v>1</v>
      </c>
      <c r="H3939" t="s">
        <v>3403</v>
      </c>
      <c r="I3939" t="s">
        <v>32</v>
      </c>
      <c r="J3939" s="9"/>
      <c r="K3939" s="9"/>
      <c r="L3939" s="9"/>
    </row>
    <row r="3940" spans="2:12" ht="15" x14ac:dyDescent="0.25">
      <c r="B3940" t="s">
        <v>3400</v>
      </c>
      <c r="C3940" t="s">
        <v>3401</v>
      </c>
      <c r="D3940" t="str">
        <f>HYPERLINK("https://rhld.insurance.arkansas.gov/NPILookup?Npi=1376806760","1376806760")</f>
        <v>1376806760</v>
      </c>
      <c r="E3940" t="s">
        <v>3680</v>
      </c>
      <c r="F3940" t="s">
        <v>13</v>
      </c>
      <c r="G3940" s="20">
        <v>1</v>
      </c>
      <c r="H3940" t="s">
        <v>3403</v>
      </c>
      <c r="I3940" t="s">
        <v>32</v>
      </c>
      <c r="J3940" s="9"/>
      <c r="K3940" s="9"/>
      <c r="L3940" s="9"/>
    </row>
    <row r="3941" spans="2:12" ht="15" x14ac:dyDescent="0.25">
      <c r="B3941" t="s">
        <v>3400</v>
      </c>
      <c r="C3941" t="s">
        <v>3401</v>
      </c>
      <c r="D3941" t="str">
        <f>HYPERLINK("https://rhld.insurance.arkansas.gov/NPILookup?Npi=1376842799","1376842799")</f>
        <v>1376842799</v>
      </c>
      <c r="E3941" t="s">
        <v>3681</v>
      </c>
      <c r="F3941" t="s">
        <v>13</v>
      </c>
      <c r="G3941" s="20">
        <v>1</v>
      </c>
      <c r="H3941" t="s">
        <v>3403</v>
      </c>
      <c r="I3941" t="s">
        <v>32</v>
      </c>
      <c r="J3941" s="9"/>
      <c r="K3941" s="9"/>
      <c r="L3941" s="9"/>
    </row>
    <row r="3942" spans="2:12" ht="15" x14ac:dyDescent="0.25">
      <c r="B3942" t="s">
        <v>3400</v>
      </c>
      <c r="C3942" t="s">
        <v>3401</v>
      </c>
      <c r="D3942" t="str">
        <f>HYPERLINK("https://rhld.insurance.arkansas.gov/NPILookup?Npi=1376878926","1376878926")</f>
        <v>1376878926</v>
      </c>
      <c r="E3942" t="s">
        <v>3682</v>
      </c>
      <c r="F3942" t="s">
        <v>13</v>
      </c>
      <c r="G3942" s="20">
        <v>1</v>
      </c>
      <c r="H3942" t="s">
        <v>3403</v>
      </c>
      <c r="I3942" t="s">
        <v>32</v>
      </c>
      <c r="J3942" s="9"/>
      <c r="K3942" s="9"/>
      <c r="L3942" s="9"/>
    </row>
    <row r="3943" spans="2:12" ht="15" x14ac:dyDescent="0.25">
      <c r="B3943" t="s">
        <v>3400</v>
      </c>
      <c r="C3943" t="s">
        <v>3401</v>
      </c>
      <c r="D3943" t="str">
        <f>HYPERLINK("https://rhld.insurance.arkansas.gov/NPILookup?Npi=1376962902","1376962902")</f>
        <v>1376962902</v>
      </c>
      <c r="E3943" t="s">
        <v>3683</v>
      </c>
      <c r="F3943" t="s">
        <v>12</v>
      </c>
      <c r="G3943" s="20">
        <v>1</v>
      </c>
      <c r="H3943" t="s">
        <v>4338</v>
      </c>
      <c r="I3943" t="s">
        <v>32</v>
      </c>
      <c r="J3943" s="9"/>
      <c r="K3943" s="9"/>
      <c r="L3943" s="9"/>
    </row>
    <row r="3944" spans="2:12" ht="15" x14ac:dyDescent="0.25">
      <c r="B3944" t="s">
        <v>3400</v>
      </c>
      <c r="C3944" t="s">
        <v>3401</v>
      </c>
      <c r="D3944" t="str">
        <f>HYPERLINK("https://rhld.insurance.arkansas.gov/NPILookup?Npi=1376999813","1376999813")</f>
        <v>1376999813</v>
      </c>
      <c r="E3944" t="s">
        <v>2583</v>
      </c>
      <c r="F3944" t="s">
        <v>13</v>
      </c>
      <c r="G3944" s="20">
        <v>1</v>
      </c>
      <c r="H3944" t="s">
        <v>3403</v>
      </c>
      <c r="I3944" t="s">
        <v>4357</v>
      </c>
      <c r="J3944" s="9"/>
      <c r="K3944" s="9"/>
      <c r="L3944" s="9"/>
    </row>
    <row r="3945" spans="2:12" ht="15" x14ac:dyDescent="0.25">
      <c r="B3945" t="s">
        <v>3400</v>
      </c>
      <c r="C3945" t="s">
        <v>3401</v>
      </c>
      <c r="D3945" t="str">
        <f>HYPERLINK("https://rhld.insurance.arkansas.gov/NPILookup?Npi=1386212603","1386212603")</f>
        <v>1386212603</v>
      </c>
      <c r="E3945" t="s">
        <v>3684</v>
      </c>
      <c r="F3945" t="s">
        <v>13</v>
      </c>
      <c r="G3945" s="20">
        <v>1</v>
      </c>
      <c r="H3945" t="s">
        <v>3403</v>
      </c>
      <c r="I3945" t="s">
        <v>4357</v>
      </c>
      <c r="J3945" s="9"/>
      <c r="K3945" s="9"/>
      <c r="L3945" s="9"/>
    </row>
    <row r="3946" spans="2:12" ht="15" x14ac:dyDescent="0.25">
      <c r="B3946" t="s">
        <v>3400</v>
      </c>
      <c r="C3946" t="s">
        <v>3401</v>
      </c>
      <c r="D3946" t="str">
        <f>HYPERLINK("https://rhld.insurance.arkansas.gov/NPILookup?Npi=1386450393","1386450393")</f>
        <v>1386450393</v>
      </c>
      <c r="E3946" t="s">
        <v>2588</v>
      </c>
      <c r="F3946" t="s">
        <v>13</v>
      </c>
      <c r="G3946" s="20">
        <v>1</v>
      </c>
      <c r="H3946" t="s">
        <v>4357</v>
      </c>
      <c r="I3946" t="s">
        <v>4357</v>
      </c>
      <c r="J3946" s="9"/>
      <c r="K3946" s="9"/>
      <c r="L3946" s="9"/>
    </row>
    <row r="3947" spans="2:12" ht="15" x14ac:dyDescent="0.25">
      <c r="B3947" t="s">
        <v>3400</v>
      </c>
      <c r="C3947" t="s">
        <v>3401</v>
      </c>
      <c r="D3947" t="str">
        <f>HYPERLINK("https://rhld.insurance.arkansas.gov/NPILookup?Npi=1386460905","1386460905")</f>
        <v>1386460905</v>
      </c>
      <c r="E3947" t="s">
        <v>2589</v>
      </c>
      <c r="F3947" t="s">
        <v>13</v>
      </c>
      <c r="G3947" s="20">
        <v>1</v>
      </c>
      <c r="H3947" t="s">
        <v>4357</v>
      </c>
      <c r="I3947" t="s">
        <v>4357</v>
      </c>
      <c r="J3947" s="9"/>
      <c r="K3947" s="9"/>
      <c r="L3947" s="9"/>
    </row>
    <row r="3948" spans="2:12" ht="15" x14ac:dyDescent="0.25">
      <c r="B3948" t="s">
        <v>3400</v>
      </c>
      <c r="C3948" t="s">
        <v>3401</v>
      </c>
      <c r="D3948" t="str">
        <f>HYPERLINK("https://rhld.insurance.arkansas.gov/NPILookup?Npi=1386600567","1386600567")</f>
        <v>1386600567</v>
      </c>
      <c r="E3948" t="s">
        <v>2590</v>
      </c>
      <c r="F3948" t="s">
        <v>12</v>
      </c>
      <c r="G3948" s="20">
        <v>1</v>
      </c>
      <c r="H3948" t="s">
        <v>4338</v>
      </c>
      <c r="I3948" t="s">
        <v>4357</v>
      </c>
      <c r="J3948" s="9"/>
      <c r="K3948" s="9"/>
      <c r="L3948" s="9"/>
    </row>
    <row r="3949" spans="2:12" ht="15" x14ac:dyDescent="0.25">
      <c r="B3949" t="s">
        <v>3400</v>
      </c>
      <c r="C3949" t="s">
        <v>3401</v>
      </c>
      <c r="D3949" t="str">
        <f>HYPERLINK("https://rhld.insurance.arkansas.gov/NPILookup?Npi=1386637221","1386637221")</f>
        <v>1386637221</v>
      </c>
      <c r="E3949" t="s">
        <v>3685</v>
      </c>
      <c r="F3949" t="s">
        <v>13</v>
      </c>
      <c r="G3949" s="20">
        <v>1</v>
      </c>
      <c r="H3949" t="s">
        <v>3403</v>
      </c>
      <c r="I3949" t="s">
        <v>32</v>
      </c>
      <c r="J3949" s="9"/>
      <c r="K3949" s="9"/>
      <c r="L3949" s="9"/>
    </row>
    <row r="3950" spans="2:12" ht="15" x14ac:dyDescent="0.25">
      <c r="B3950" t="s">
        <v>3400</v>
      </c>
      <c r="C3950" t="s">
        <v>3401</v>
      </c>
      <c r="D3950" t="str">
        <f>HYPERLINK("https://rhld.insurance.arkansas.gov/NPILookup?Npi=1386681328","1386681328")</f>
        <v>1386681328</v>
      </c>
      <c r="E3950" t="s">
        <v>2592</v>
      </c>
      <c r="F3950" t="s">
        <v>13</v>
      </c>
      <c r="G3950" s="20">
        <v>1</v>
      </c>
      <c r="H3950" t="s">
        <v>3403</v>
      </c>
      <c r="I3950" t="s">
        <v>4357</v>
      </c>
      <c r="J3950" s="9"/>
      <c r="K3950" s="9"/>
      <c r="L3950" s="9"/>
    </row>
    <row r="3951" spans="2:12" ht="15" x14ac:dyDescent="0.25">
      <c r="B3951" t="s">
        <v>3400</v>
      </c>
      <c r="C3951" t="s">
        <v>3401</v>
      </c>
      <c r="D3951" t="str">
        <f>HYPERLINK("https://rhld.insurance.arkansas.gov/NPILookup?Npi=1386733830","1386733830")</f>
        <v>1386733830</v>
      </c>
      <c r="E3951" t="s">
        <v>3686</v>
      </c>
      <c r="F3951" t="s">
        <v>13</v>
      </c>
      <c r="G3951" s="20">
        <v>1</v>
      </c>
      <c r="H3951" t="s">
        <v>3403</v>
      </c>
      <c r="I3951" t="s">
        <v>4357</v>
      </c>
      <c r="J3951" s="9"/>
      <c r="K3951" s="9"/>
      <c r="L3951" s="9"/>
    </row>
    <row r="3952" spans="2:12" ht="15" x14ac:dyDescent="0.25">
      <c r="B3952" t="s">
        <v>3400</v>
      </c>
      <c r="C3952" t="s">
        <v>3401</v>
      </c>
      <c r="D3952" t="str">
        <f>HYPERLINK("https://rhld.insurance.arkansas.gov/NPILookup?Npi=1386868545","1386868545")</f>
        <v>1386868545</v>
      </c>
      <c r="E3952" t="s">
        <v>3687</v>
      </c>
      <c r="F3952" t="s">
        <v>12</v>
      </c>
      <c r="G3952" s="20">
        <v>1</v>
      </c>
      <c r="H3952" t="s">
        <v>4338</v>
      </c>
      <c r="I3952" t="s">
        <v>32</v>
      </c>
      <c r="J3952" s="9"/>
      <c r="K3952" s="9"/>
      <c r="L3952" s="9"/>
    </row>
    <row r="3953" spans="2:12" ht="15" x14ac:dyDescent="0.25">
      <c r="B3953" t="s">
        <v>3400</v>
      </c>
      <c r="C3953" t="s">
        <v>3401</v>
      </c>
      <c r="D3953" t="str">
        <f>HYPERLINK("https://rhld.insurance.arkansas.gov/NPILookup?Npi=1386925634","1386925634")</f>
        <v>1386925634</v>
      </c>
      <c r="E3953" t="s">
        <v>3688</v>
      </c>
      <c r="F3953" t="s">
        <v>12</v>
      </c>
      <c r="G3953" s="20">
        <v>1</v>
      </c>
      <c r="H3953" t="s">
        <v>4338</v>
      </c>
      <c r="I3953" t="s">
        <v>4357</v>
      </c>
      <c r="J3953" s="9"/>
      <c r="K3953" s="9"/>
      <c r="L3953" s="9"/>
    </row>
    <row r="3954" spans="2:12" ht="15" x14ac:dyDescent="0.25">
      <c r="B3954" t="s">
        <v>3400</v>
      </c>
      <c r="C3954" t="s">
        <v>3401</v>
      </c>
      <c r="D3954" t="str">
        <f>HYPERLINK("https://rhld.insurance.arkansas.gov/NPILookup?Npi=1396020426","1396020426")</f>
        <v>1396020426</v>
      </c>
      <c r="E3954" t="s">
        <v>3689</v>
      </c>
      <c r="F3954" t="s">
        <v>13</v>
      </c>
      <c r="G3954" s="20">
        <v>1</v>
      </c>
      <c r="H3954" t="s">
        <v>3403</v>
      </c>
      <c r="I3954" t="s">
        <v>4357</v>
      </c>
      <c r="J3954" s="9"/>
      <c r="K3954" s="9"/>
      <c r="L3954" s="9"/>
    </row>
    <row r="3955" spans="2:12" ht="15" x14ac:dyDescent="0.25">
      <c r="B3955" t="s">
        <v>3400</v>
      </c>
      <c r="C3955" t="s">
        <v>3401</v>
      </c>
      <c r="D3955" t="str">
        <f>HYPERLINK("https://rhld.insurance.arkansas.gov/NPILookup?Npi=1396110490","1396110490")</f>
        <v>1396110490</v>
      </c>
      <c r="E3955" t="s">
        <v>2594</v>
      </c>
      <c r="F3955" t="s">
        <v>13</v>
      </c>
      <c r="G3955" s="20">
        <v>1</v>
      </c>
      <c r="H3955" t="s">
        <v>4357</v>
      </c>
      <c r="I3955" t="s">
        <v>4357</v>
      </c>
      <c r="J3955" s="9"/>
      <c r="K3955" s="9"/>
      <c r="L3955" s="9"/>
    </row>
    <row r="3956" spans="2:12" ht="15" x14ac:dyDescent="0.25">
      <c r="B3956" t="s">
        <v>3400</v>
      </c>
      <c r="C3956" t="s">
        <v>3401</v>
      </c>
      <c r="D3956" t="str">
        <f>HYPERLINK("https://rhld.insurance.arkansas.gov/NPILookup?Npi=1396130431","1396130431")</f>
        <v>1396130431</v>
      </c>
      <c r="E3956" t="s">
        <v>3690</v>
      </c>
      <c r="F3956" t="s">
        <v>13</v>
      </c>
      <c r="G3956" s="20">
        <v>1</v>
      </c>
      <c r="H3956" t="s">
        <v>3403</v>
      </c>
      <c r="I3956" t="s">
        <v>32</v>
      </c>
      <c r="J3956" s="9"/>
      <c r="K3956" s="9"/>
      <c r="L3956" s="9"/>
    </row>
    <row r="3957" spans="2:12" ht="15" x14ac:dyDescent="0.25">
      <c r="B3957" t="s">
        <v>3400</v>
      </c>
      <c r="C3957" t="s">
        <v>3401</v>
      </c>
      <c r="D3957" t="str">
        <f>HYPERLINK("https://rhld.insurance.arkansas.gov/NPILookup?Npi=1396141636","1396141636")</f>
        <v>1396141636</v>
      </c>
      <c r="E3957" t="s">
        <v>3691</v>
      </c>
      <c r="F3957" t="s">
        <v>13</v>
      </c>
      <c r="G3957" s="20">
        <v>1</v>
      </c>
      <c r="H3957" t="s">
        <v>3403</v>
      </c>
      <c r="I3957" t="s">
        <v>4357</v>
      </c>
      <c r="J3957" s="9"/>
      <c r="K3957" s="9"/>
      <c r="L3957" s="9"/>
    </row>
    <row r="3958" spans="2:12" ht="15" x14ac:dyDescent="0.25">
      <c r="B3958" t="s">
        <v>3400</v>
      </c>
      <c r="C3958" t="s">
        <v>3401</v>
      </c>
      <c r="D3958" t="str">
        <f>HYPERLINK("https://rhld.insurance.arkansas.gov/NPILookup?Npi=1396210514","1396210514")</f>
        <v>1396210514</v>
      </c>
      <c r="E3958" t="s">
        <v>3692</v>
      </c>
      <c r="F3958" t="s">
        <v>13</v>
      </c>
      <c r="G3958" s="20">
        <v>1</v>
      </c>
      <c r="H3958" t="s">
        <v>3403</v>
      </c>
      <c r="I3958" t="s">
        <v>4357</v>
      </c>
      <c r="J3958" s="9"/>
      <c r="K3958" s="9"/>
      <c r="L3958" s="9"/>
    </row>
    <row r="3959" spans="2:12" ht="15" x14ac:dyDescent="0.25">
      <c r="B3959" t="s">
        <v>3400</v>
      </c>
      <c r="C3959" t="s">
        <v>3401</v>
      </c>
      <c r="D3959" t="str">
        <f>HYPERLINK("https://rhld.insurance.arkansas.gov/NPILookup?Npi=1396224754","1396224754")</f>
        <v>1396224754</v>
      </c>
      <c r="E3959" t="s">
        <v>3693</v>
      </c>
      <c r="F3959" t="s">
        <v>13</v>
      </c>
      <c r="G3959" s="20">
        <v>1</v>
      </c>
      <c r="H3959" t="s">
        <v>3403</v>
      </c>
      <c r="I3959" t="s">
        <v>4357</v>
      </c>
      <c r="J3959" s="9"/>
      <c r="K3959" s="9"/>
      <c r="L3959" s="9"/>
    </row>
    <row r="3960" spans="2:12" ht="15" x14ac:dyDescent="0.25">
      <c r="B3960" t="s">
        <v>3400</v>
      </c>
      <c r="C3960" t="s">
        <v>3401</v>
      </c>
      <c r="D3960" t="str">
        <f>HYPERLINK("https://rhld.insurance.arkansas.gov/NPILookup?Npi=1396242954","1396242954")</f>
        <v>1396242954</v>
      </c>
      <c r="E3960" t="s">
        <v>3694</v>
      </c>
      <c r="F3960" t="s">
        <v>12</v>
      </c>
      <c r="G3960" s="20">
        <v>1</v>
      </c>
      <c r="H3960" t="s">
        <v>4338</v>
      </c>
      <c r="I3960" t="s">
        <v>32</v>
      </c>
      <c r="J3960" s="9"/>
      <c r="K3960" s="9"/>
      <c r="L3960" s="9"/>
    </row>
    <row r="3961" spans="2:12" ht="15" x14ac:dyDescent="0.25">
      <c r="B3961" t="s">
        <v>3400</v>
      </c>
      <c r="C3961" t="s">
        <v>3401</v>
      </c>
      <c r="D3961" t="str">
        <f>HYPERLINK("https://rhld.insurance.arkansas.gov/NPILookup?Npi=1396323614","1396323614")</f>
        <v>1396323614</v>
      </c>
      <c r="E3961" t="s">
        <v>2601</v>
      </c>
      <c r="F3961" t="s">
        <v>13</v>
      </c>
      <c r="G3961" s="20">
        <v>1</v>
      </c>
      <c r="H3961" t="s">
        <v>4357</v>
      </c>
      <c r="I3961" t="s">
        <v>4357</v>
      </c>
      <c r="J3961" s="9"/>
      <c r="K3961" s="9"/>
      <c r="L3961" s="9"/>
    </row>
    <row r="3962" spans="2:12" ht="15" x14ac:dyDescent="0.25">
      <c r="B3962" t="s">
        <v>3400</v>
      </c>
      <c r="C3962" t="s">
        <v>3401</v>
      </c>
      <c r="D3962" t="str">
        <f>HYPERLINK("https://rhld.insurance.arkansas.gov/NPILookup?Npi=1396362737","1396362737")</f>
        <v>1396362737</v>
      </c>
      <c r="E3962" t="s">
        <v>2602</v>
      </c>
      <c r="F3962" t="s">
        <v>13</v>
      </c>
      <c r="G3962" s="20">
        <v>1</v>
      </c>
      <c r="H3962" t="s">
        <v>3403</v>
      </c>
      <c r="I3962" t="s">
        <v>4357</v>
      </c>
      <c r="J3962" s="9"/>
      <c r="K3962" s="9"/>
      <c r="L3962" s="9"/>
    </row>
    <row r="3963" spans="2:12" ht="15" x14ac:dyDescent="0.25">
      <c r="B3963" t="s">
        <v>3400</v>
      </c>
      <c r="C3963" t="s">
        <v>3401</v>
      </c>
      <c r="D3963" t="str">
        <f>HYPERLINK("https://rhld.insurance.arkansas.gov/NPILookup?Npi=1396551412","1396551412")</f>
        <v>1396551412</v>
      </c>
      <c r="E3963" t="s">
        <v>2067</v>
      </c>
      <c r="F3963" t="s">
        <v>13</v>
      </c>
      <c r="G3963" s="20">
        <v>1</v>
      </c>
      <c r="H3963" t="s">
        <v>4357</v>
      </c>
      <c r="I3963" t="s">
        <v>4357</v>
      </c>
      <c r="J3963" s="9"/>
      <c r="K3963" s="9"/>
      <c r="L3963" s="9"/>
    </row>
    <row r="3964" spans="2:12" ht="15" x14ac:dyDescent="0.25">
      <c r="B3964" t="s">
        <v>3400</v>
      </c>
      <c r="C3964" t="s">
        <v>3401</v>
      </c>
      <c r="D3964" t="str">
        <f>HYPERLINK("https://rhld.insurance.arkansas.gov/NPILookup?Npi=1396565206","1396565206")</f>
        <v>1396565206</v>
      </c>
      <c r="E3964" t="s">
        <v>3695</v>
      </c>
      <c r="F3964" t="s">
        <v>13</v>
      </c>
      <c r="G3964" s="20">
        <v>1</v>
      </c>
      <c r="H3964" t="s">
        <v>3403</v>
      </c>
      <c r="I3964" t="s">
        <v>4357</v>
      </c>
      <c r="J3964" s="9"/>
      <c r="K3964" s="9"/>
      <c r="L3964" s="9"/>
    </row>
    <row r="3965" spans="2:12" ht="15" x14ac:dyDescent="0.25">
      <c r="B3965" t="s">
        <v>3400</v>
      </c>
      <c r="C3965" t="s">
        <v>3401</v>
      </c>
      <c r="D3965" t="str">
        <f>HYPERLINK("https://rhld.insurance.arkansas.gov/NPILookup?Npi=1396573119","1396573119")</f>
        <v>1396573119</v>
      </c>
      <c r="E3965" t="s">
        <v>2068</v>
      </c>
      <c r="F3965" t="s">
        <v>13</v>
      </c>
      <c r="G3965" s="20">
        <v>1</v>
      </c>
      <c r="H3965" t="s">
        <v>4357</v>
      </c>
      <c r="I3965" t="s">
        <v>4357</v>
      </c>
      <c r="J3965" s="9"/>
      <c r="K3965" s="9"/>
      <c r="L3965" s="9"/>
    </row>
    <row r="3966" spans="2:12" ht="15" x14ac:dyDescent="0.25">
      <c r="B3966" t="s">
        <v>3400</v>
      </c>
      <c r="C3966" t="s">
        <v>3401</v>
      </c>
      <c r="D3966" t="str">
        <f>HYPERLINK("https://rhld.insurance.arkansas.gov/NPILookup?Npi=1396703252","1396703252")</f>
        <v>1396703252</v>
      </c>
      <c r="E3966" t="s">
        <v>3696</v>
      </c>
      <c r="F3966" t="s">
        <v>12</v>
      </c>
      <c r="G3966" s="20">
        <v>1</v>
      </c>
      <c r="H3966" t="s">
        <v>4338</v>
      </c>
      <c r="I3966" t="s">
        <v>32</v>
      </c>
      <c r="J3966" s="9"/>
      <c r="K3966" s="9"/>
      <c r="L3966" s="9"/>
    </row>
    <row r="3967" spans="2:12" ht="15" x14ac:dyDescent="0.25">
      <c r="B3967" t="s">
        <v>3400</v>
      </c>
      <c r="C3967" t="s">
        <v>3401</v>
      </c>
      <c r="D3967" t="str">
        <f>HYPERLINK("https://rhld.insurance.arkansas.gov/NPILookup?Npi=1396793741","1396793741")</f>
        <v>1396793741</v>
      </c>
      <c r="E3967" t="s">
        <v>3697</v>
      </c>
      <c r="F3967" t="s">
        <v>13</v>
      </c>
      <c r="G3967" s="20">
        <v>1</v>
      </c>
      <c r="H3967" t="s">
        <v>3403</v>
      </c>
      <c r="I3967" t="s">
        <v>32</v>
      </c>
      <c r="J3967" s="9"/>
      <c r="K3967" s="9"/>
      <c r="L3967" s="9"/>
    </row>
    <row r="3968" spans="2:12" ht="15" x14ac:dyDescent="0.25">
      <c r="B3968" t="s">
        <v>3400</v>
      </c>
      <c r="C3968" t="s">
        <v>3401</v>
      </c>
      <c r="D3968" t="str">
        <f>HYPERLINK("https://rhld.insurance.arkansas.gov/NPILookup?Npi=1396835898","1396835898")</f>
        <v>1396835898</v>
      </c>
      <c r="E3968" t="s">
        <v>3698</v>
      </c>
      <c r="F3968" t="s">
        <v>12</v>
      </c>
      <c r="G3968" s="20">
        <v>1</v>
      </c>
      <c r="H3968" t="s">
        <v>4338</v>
      </c>
      <c r="I3968" t="s">
        <v>32</v>
      </c>
      <c r="J3968" s="9"/>
      <c r="K3968" s="9"/>
      <c r="L3968" s="9"/>
    </row>
    <row r="3969" spans="2:12" ht="15" x14ac:dyDescent="0.25">
      <c r="B3969" t="s">
        <v>3400</v>
      </c>
      <c r="C3969" t="s">
        <v>3401</v>
      </c>
      <c r="D3969" t="str">
        <f>HYPERLINK("https://rhld.insurance.arkansas.gov/NPILookup?Npi=1396854493","1396854493")</f>
        <v>1396854493</v>
      </c>
      <c r="E3969" t="s">
        <v>3699</v>
      </c>
      <c r="F3969" t="s">
        <v>13</v>
      </c>
      <c r="G3969" s="20">
        <v>1</v>
      </c>
      <c r="H3969" t="s">
        <v>3403</v>
      </c>
      <c r="I3969" t="s">
        <v>4357</v>
      </c>
      <c r="J3969" s="9"/>
      <c r="K3969" s="9"/>
      <c r="L3969" s="9"/>
    </row>
    <row r="3970" spans="2:12" ht="15" x14ac:dyDescent="0.25">
      <c r="B3970" t="s">
        <v>3400</v>
      </c>
      <c r="C3970" t="s">
        <v>3401</v>
      </c>
      <c r="D3970" t="str">
        <f>HYPERLINK("https://rhld.insurance.arkansas.gov/NPILookup?Npi=1396941522","1396941522")</f>
        <v>1396941522</v>
      </c>
      <c r="E3970" t="s">
        <v>3700</v>
      </c>
      <c r="F3970" t="s">
        <v>13</v>
      </c>
      <c r="G3970" s="20">
        <v>1</v>
      </c>
      <c r="H3970" t="s">
        <v>3403</v>
      </c>
      <c r="I3970" t="s">
        <v>32</v>
      </c>
      <c r="J3970" s="9"/>
      <c r="K3970" s="9"/>
      <c r="L3970" s="9"/>
    </row>
    <row r="3971" spans="2:12" ht="15" x14ac:dyDescent="0.25">
      <c r="B3971" t="s">
        <v>3400</v>
      </c>
      <c r="C3971" t="s">
        <v>3401</v>
      </c>
      <c r="D3971" t="str">
        <f>HYPERLINK("https://rhld.insurance.arkansas.gov/NPILookup?Npi=1407081862","1407081862")</f>
        <v>1407081862</v>
      </c>
      <c r="E3971" t="s">
        <v>3701</v>
      </c>
      <c r="F3971" t="s">
        <v>13</v>
      </c>
      <c r="G3971" s="20">
        <v>1</v>
      </c>
      <c r="H3971" t="s">
        <v>3403</v>
      </c>
      <c r="I3971" t="s">
        <v>4357</v>
      </c>
      <c r="J3971" s="9"/>
      <c r="K3971" s="9"/>
      <c r="L3971" s="9"/>
    </row>
    <row r="3972" spans="2:12" ht="15" x14ac:dyDescent="0.25">
      <c r="B3972" t="s">
        <v>3400</v>
      </c>
      <c r="C3972" t="s">
        <v>3401</v>
      </c>
      <c r="D3972" t="str">
        <f>HYPERLINK("https://rhld.insurance.arkansas.gov/NPILookup?Npi=1407121544","1407121544")</f>
        <v>1407121544</v>
      </c>
      <c r="E3972" t="s">
        <v>2609</v>
      </c>
      <c r="F3972" t="s">
        <v>13</v>
      </c>
      <c r="G3972" s="20">
        <v>1</v>
      </c>
      <c r="H3972" t="s">
        <v>4357</v>
      </c>
      <c r="I3972" t="s">
        <v>4357</v>
      </c>
      <c r="J3972" s="9"/>
      <c r="K3972" s="9"/>
      <c r="L3972" s="9"/>
    </row>
    <row r="3973" spans="2:12" ht="15" x14ac:dyDescent="0.25">
      <c r="B3973" t="s">
        <v>3400</v>
      </c>
      <c r="C3973" t="s">
        <v>3401</v>
      </c>
      <c r="D3973" t="str">
        <f>HYPERLINK("https://rhld.insurance.arkansas.gov/NPILookup?Npi=1407195324","1407195324")</f>
        <v>1407195324</v>
      </c>
      <c r="E3973" t="s">
        <v>2612</v>
      </c>
      <c r="F3973" t="s">
        <v>13</v>
      </c>
      <c r="G3973" s="20">
        <v>1</v>
      </c>
      <c r="H3973" t="s">
        <v>4357</v>
      </c>
      <c r="I3973" t="s">
        <v>4357</v>
      </c>
      <c r="J3973" s="9"/>
      <c r="K3973" s="9"/>
      <c r="L3973" s="9"/>
    </row>
    <row r="3974" spans="2:12" ht="15" x14ac:dyDescent="0.25">
      <c r="B3974" t="s">
        <v>3400</v>
      </c>
      <c r="C3974" t="s">
        <v>3401</v>
      </c>
      <c r="D3974" t="str">
        <f>HYPERLINK("https://rhld.insurance.arkansas.gov/NPILookup?Npi=1407242498","1407242498")</f>
        <v>1407242498</v>
      </c>
      <c r="E3974" t="s">
        <v>2613</v>
      </c>
      <c r="F3974" t="s">
        <v>13</v>
      </c>
      <c r="G3974" s="20">
        <v>1</v>
      </c>
      <c r="H3974" t="s">
        <v>3403</v>
      </c>
      <c r="I3974" t="s">
        <v>32</v>
      </c>
      <c r="J3974" s="9"/>
      <c r="K3974" s="9"/>
      <c r="L3974" s="9"/>
    </row>
    <row r="3975" spans="2:12" ht="15" x14ac:dyDescent="0.25">
      <c r="B3975" t="s">
        <v>3400</v>
      </c>
      <c r="C3975" t="s">
        <v>3401</v>
      </c>
      <c r="D3975" t="str">
        <f>HYPERLINK("https://rhld.insurance.arkansas.gov/NPILookup?Npi=1407388267","1407388267")</f>
        <v>1407388267</v>
      </c>
      <c r="E3975" t="s">
        <v>3702</v>
      </c>
      <c r="F3975" t="s">
        <v>13</v>
      </c>
      <c r="G3975" s="20">
        <v>1</v>
      </c>
      <c r="H3975" t="s">
        <v>3403</v>
      </c>
      <c r="I3975" t="s">
        <v>32</v>
      </c>
      <c r="J3975" s="9"/>
      <c r="K3975" s="9"/>
      <c r="L3975" s="9"/>
    </row>
    <row r="3976" spans="2:12" ht="15" x14ac:dyDescent="0.25">
      <c r="B3976" t="s">
        <v>3400</v>
      </c>
      <c r="C3976" t="s">
        <v>3401</v>
      </c>
      <c r="D3976" t="str">
        <f>HYPERLINK("https://rhld.insurance.arkansas.gov/NPILookup?Npi=1407397730","1407397730")</f>
        <v>1407397730</v>
      </c>
      <c r="E3976" t="s">
        <v>3703</v>
      </c>
      <c r="F3976" t="s">
        <v>13</v>
      </c>
      <c r="G3976" s="20">
        <v>1</v>
      </c>
      <c r="H3976" t="s">
        <v>3403</v>
      </c>
      <c r="I3976" t="s">
        <v>32</v>
      </c>
      <c r="J3976" s="9"/>
      <c r="K3976" s="9"/>
      <c r="L3976" s="9"/>
    </row>
    <row r="3977" spans="2:12" ht="15" x14ac:dyDescent="0.25">
      <c r="B3977" t="s">
        <v>3400</v>
      </c>
      <c r="C3977" t="s">
        <v>3401</v>
      </c>
      <c r="D3977" t="str">
        <f>HYPERLINK("https://rhld.insurance.arkansas.gov/NPILookup?Npi=1407421332","1407421332")</f>
        <v>1407421332</v>
      </c>
      <c r="E3977" t="s">
        <v>2615</v>
      </c>
      <c r="F3977" t="s">
        <v>13</v>
      </c>
      <c r="G3977" s="20">
        <v>1</v>
      </c>
      <c r="H3977" t="s">
        <v>4357</v>
      </c>
      <c r="I3977" t="s">
        <v>4357</v>
      </c>
      <c r="J3977" s="9"/>
      <c r="K3977" s="9"/>
      <c r="L3977" s="9"/>
    </row>
    <row r="3978" spans="2:12" ht="15" x14ac:dyDescent="0.25">
      <c r="B3978" t="s">
        <v>3400</v>
      </c>
      <c r="C3978" t="s">
        <v>3401</v>
      </c>
      <c r="D3978" t="str">
        <f>HYPERLINK("https://rhld.insurance.arkansas.gov/NPILookup?Npi=1407611478","1407611478")</f>
        <v>1407611478</v>
      </c>
      <c r="E3978" t="s">
        <v>3704</v>
      </c>
      <c r="F3978" t="s">
        <v>13</v>
      </c>
      <c r="G3978" s="20">
        <v>1</v>
      </c>
      <c r="H3978" t="s">
        <v>3403</v>
      </c>
      <c r="I3978" t="s">
        <v>4357</v>
      </c>
      <c r="J3978" s="9"/>
      <c r="K3978" s="9"/>
      <c r="L3978" s="9"/>
    </row>
    <row r="3979" spans="2:12" ht="15" x14ac:dyDescent="0.25">
      <c r="B3979" t="s">
        <v>3400</v>
      </c>
      <c r="C3979" t="s">
        <v>3401</v>
      </c>
      <c r="D3979" t="str">
        <f>HYPERLINK("https://rhld.insurance.arkansas.gov/NPILookup?Npi=1407683758","1407683758")</f>
        <v>1407683758</v>
      </c>
      <c r="E3979" t="s">
        <v>2618</v>
      </c>
      <c r="F3979" t="s">
        <v>13</v>
      </c>
      <c r="G3979" s="20">
        <v>1</v>
      </c>
      <c r="H3979" t="s">
        <v>4357</v>
      </c>
      <c r="I3979" t="s">
        <v>4357</v>
      </c>
      <c r="J3979" s="9"/>
      <c r="K3979" s="9"/>
      <c r="L3979" s="9"/>
    </row>
    <row r="3980" spans="2:12" ht="15" x14ac:dyDescent="0.25">
      <c r="B3980" t="s">
        <v>3400</v>
      </c>
      <c r="C3980" t="s">
        <v>3401</v>
      </c>
      <c r="D3980" t="str">
        <f>HYPERLINK("https://rhld.insurance.arkansas.gov/NPILookup?Npi=1407694722","1407694722")</f>
        <v>1407694722</v>
      </c>
      <c r="E3980" t="s">
        <v>2619</v>
      </c>
      <c r="F3980" t="s">
        <v>13</v>
      </c>
      <c r="G3980" s="20">
        <v>1</v>
      </c>
      <c r="H3980" t="s">
        <v>4357</v>
      </c>
      <c r="I3980" t="s">
        <v>4357</v>
      </c>
      <c r="J3980" s="9"/>
      <c r="K3980" s="9"/>
      <c r="L3980" s="9"/>
    </row>
    <row r="3981" spans="2:12" ht="15" x14ac:dyDescent="0.25">
      <c r="B3981" t="s">
        <v>3400</v>
      </c>
      <c r="C3981" t="s">
        <v>3401</v>
      </c>
      <c r="D3981" t="str">
        <f>HYPERLINK("https://rhld.insurance.arkansas.gov/NPILookup?Npi=1407696123","1407696123")</f>
        <v>1407696123</v>
      </c>
      <c r="E3981" t="s">
        <v>2620</v>
      </c>
      <c r="F3981" t="s">
        <v>13</v>
      </c>
      <c r="G3981" s="20">
        <v>1</v>
      </c>
      <c r="H3981" t="s">
        <v>4357</v>
      </c>
      <c r="I3981" t="s">
        <v>4357</v>
      </c>
      <c r="J3981" s="9"/>
      <c r="K3981" s="9"/>
      <c r="L3981" s="9"/>
    </row>
    <row r="3982" spans="2:12" ht="15" x14ac:dyDescent="0.25">
      <c r="B3982" t="s">
        <v>3400</v>
      </c>
      <c r="C3982" t="s">
        <v>3401</v>
      </c>
      <c r="D3982" t="str">
        <f>HYPERLINK("https://rhld.insurance.arkansas.gov/NPILookup?Npi=1407810898","1407810898")</f>
        <v>1407810898</v>
      </c>
      <c r="E3982" t="s">
        <v>3705</v>
      </c>
      <c r="F3982" t="s">
        <v>13</v>
      </c>
      <c r="G3982" s="20">
        <v>1</v>
      </c>
      <c r="H3982" t="s">
        <v>3403</v>
      </c>
      <c r="I3982" t="s">
        <v>32</v>
      </c>
      <c r="J3982" s="9"/>
      <c r="K3982" s="9"/>
      <c r="L3982" s="9"/>
    </row>
    <row r="3983" spans="2:12" ht="15" x14ac:dyDescent="0.25">
      <c r="B3983" t="s">
        <v>3400</v>
      </c>
      <c r="C3983" t="s">
        <v>3401</v>
      </c>
      <c r="D3983" t="str">
        <f>HYPERLINK("https://rhld.insurance.arkansas.gov/NPILookup?Npi=1407831985","1407831985")</f>
        <v>1407831985</v>
      </c>
      <c r="E3983" t="s">
        <v>2622</v>
      </c>
      <c r="F3983" t="s">
        <v>13</v>
      </c>
      <c r="G3983" s="20">
        <v>1</v>
      </c>
      <c r="H3983" t="s">
        <v>3403</v>
      </c>
      <c r="I3983" t="s">
        <v>4357</v>
      </c>
      <c r="J3983" s="9"/>
      <c r="K3983" s="9"/>
      <c r="L3983" s="9"/>
    </row>
    <row r="3984" spans="2:12" ht="15" x14ac:dyDescent="0.25">
      <c r="B3984" t="s">
        <v>3400</v>
      </c>
      <c r="C3984" t="s">
        <v>3401</v>
      </c>
      <c r="D3984" t="str">
        <f>HYPERLINK("https://rhld.insurance.arkansas.gov/NPILookup?Npi=1407849896","1407849896")</f>
        <v>1407849896</v>
      </c>
      <c r="E3984" t="s">
        <v>2843</v>
      </c>
      <c r="F3984" t="s">
        <v>13</v>
      </c>
      <c r="G3984" s="20">
        <v>1</v>
      </c>
      <c r="H3984" t="s">
        <v>3403</v>
      </c>
      <c r="I3984" t="s">
        <v>32</v>
      </c>
      <c r="J3984" s="9"/>
      <c r="K3984" s="9"/>
      <c r="L3984" s="9"/>
    </row>
    <row r="3985" spans="2:12" ht="15" x14ac:dyDescent="0.25">
      <c r="B3985" t="s">
        <v>3400</v>
      </c>
      <c r="C3985" t="s">
        <v>3401</v>
      </c>
      <c r="D3985" t="str">
        <f>HYPERLINK("https://rhld.insurance.arkansas.gov/NPILookup?Npi=1407857923","1407857923")</f>
        <v>1407857923</v>
      </c>
      <c r="E3985" t="s">
        <v>3706</v>
      </c>
      <c r="F3985" t="s">
        <v>12</v>
      </c>
      <c r="G3985" s="20">
        <v>1</v>
      </c>
      <c r="H3985" t="s">
        <v>4338</v>
      </c>
      <c r="I3985" t="s">
        <v>32</v>
      </c>
      <c r="J3985" s="9"/>
      <c r="K3985" s="9"/>
      <c r="L3985" s="9"/>
    </row>
    <row r="3986" spans="2:12" ht="15" x14ac:dyDescent="0.25">
      <c r="B3986" t="s">
        <v>3400</v>
      </c>
      <c r="C3986" t="s">
        <v>3401</v>
      </c>
      <c r="D3986" t="str">
        <f>HYPERLINK("https://rhld.insurance.arkansas.gov/NPILookup?Npi=1417021007","1417021007")</f>
        <v>1417021007</v>
      </c>
      <c r="E3986" t="s">
        <v>3707</v>
      </c>
      <c r="F3986" t="s">
        <v>13</v>
      </c>
      <c r="G3986" s="20">
        <v>1</v>
      </c>
      <c r="H3986" t="s">
        <v>3403</v>
      </c>
      <c r="I3986" t="s">
        <v>32</v>
      </c>
      <c r="J3986" s="9"/>
      <c r="K3986" s="9"/>
      <c r="L3986" s="9"/>
    </row>
    <row r="3987" spans="2:12" ht="15" x14ac:dyDescent="0.25">
      <c r="B3987" t="s">
        <v>3400</v>
      </c>
      <c r="C3987" t="s">
        <v>3401</v>
      </c>
      <c r="D3987" t="str">
        <f>HYPERLINK("https://rhld.insurance.arkansas.gov/NPILookup?Npi=1417056250","1417056250")</f>
        <v>1417056250</v>
      </c>
      <c r="E3987" t="s">
        <v>3708</v>
      </c>
      <c r="F3987" t="s">
        <v>13</v>
      </c>
      <c r="G3987" s="20">
        <v>1</v>
      </c>
      <c r="H3987" t="s">
        <v>3403</v>
      </c>
      <c r="I3987" t="s">
        <v>4357</v>
      </c>
      <c r="J3987" s="9"/>
      <c r="K3987" s="9"/>
      <c r="L3987" s="9"/>
    </row>
    <row r="3988" spans="2:12" ht="15" x14ac:dyDescent="0.25">
      <c r="B3988" t="s">
        <v>3400</v>
      </c>
      <c r="C3988" t="s">
        <v>3401</v>
      </c>
      <c r="D3988" t="str">
        <f>HYPERLINK("https://rhld.insurance.arkansas.gov/NPILookup?Npi=1417060286","1417060286")</f>
        <v>1417060286</v>
      </c>
      <c r="E3988" t="s">
        <v>3709</v>
      </c>
      <c r="F3988" t="s">
        <v>13</v>
      </c>
      <c r="G3988" s="20">
        <v>1</v>
      </c>
      <c r="H3988" t="s">
        <v>3403</v>
      </c>
      <c r="I3988" t="s">
        <v>32</v>
      </c>
      <c r="J3988" s="9"/>
      <c r="K3988" s="9"/>
      <c r="L3988" s="9"/>
    </row>
    <row r="3989" spans="2:12" ht="15" x14ac:dyDescent="0.25">
      <c r="B3989" t="s">
        <v>3400</v>
      </c>
      <c r="C3989" t="s">
        <v>3401</v>
      </c>
      <c r="D3989" t="str">
        <f>HYPERLINK("https://rhld.insurance.arkansas.gov/NPILookup?Npi=1417240060","1417240060")</f>
        <v>1417240060</v>
      </c>
      <c r="E3989" t="s">
        <v>3710</v>
      </c>
      <c r="F3989" t="s">
        <v>13</v>
      </c>
      <c r="G3989" s="20">
        <v>1</v>
      </c>
      <c r="H3989" t="s">
        <v>3403</v>
      </c>
      <c r="I3989" t="s">
        <v>32</v>
      </c>
      <c r="J3989" s="9"/>
      <c r="K3989" s="9"/>
      <c r="L3989" s="9"/>
    </row>
    <row r="3990" spans="2:12" ht="15" x14ac:dyDescent="0.25">
      <c r="B3990" t="s">
        <v>3400</v>
      </c>
      <c r="C3990" t="s">
        <v>3401</v>
      </c>
      <c r="D3990" t="str">
        <f>HYPERLINK("https://rhld.insurance.arkansas.gov/NPILookup?Npi=1417299413","1417299413")</f>
        <v>1417299413</v>
      </c>
      <c r="E3990" t="s">
        <v>603</v>
      </c>
      <c r="F3990" t="s">
        <v>13</v>
      </c>
      <c r="G3990" s="20">
        <v>1</v>
      </c>
      <c r="H3990" t="s">
        <v>4357</v>
      </c>
      <c r="I3990" t="s">
        <v>4357</v>
      </c>
      <c r="J3990" s="9"/>
      <c r="K3990" s="9"/>
      <c r="L3990" s="9"/>
    </row>
    <row r="3991" spans="2:12" ht="15" x14ac:dyDescent="0.25">
      <c r="B3991" t="s">
        <v>3400</v>
      </c>
      <c r="C3991" t="s">
        <v>3401</v>
      </c>
      <c r="D3991" t="str">
        <f>HYPERLINK("https://rhld.insurance.arkansas.gov/NPILookup?Npi=1417373283","1417373283")</f>
        <v>1417373283</v>
      </c>
      <c r="E3991" t="s">
        <v>1693</v>
      </c>
      <c r="F3991" t="s">
        <v>13</v>
      </c>
      <c r="G3991" s="20">
        <v>1</v>
      </c>
      <c r="H3991" t="s">
        <v>4357</v>
      </c>
      <c r="I3991" t="s">
        <v>4357</v>
      </c>
      <c r="J3991" s="9"/>
      <c r="K3991" s="9"/>
      <c r="L3991" s="9"/>
    </row>
    <row r="3992" spans="2:12" ht="15" x14ac:dyDescent="0.25">
      <c r="B3992" t="s">
        <v>3400</v>
      </c>
      <c r="C3992" t="s">
        <v>3401</v>
      </c>
      <c r="D3992" t="str">
        <f>HYPERLINK("https://rhld.insurance.arkansas.gov/NPILookup?Npi=1417377334","1417377334")</f>
        <v>1417377334</v>
      </c>
      <c r="E3992" t="s">
        <v>3711</v>
      </c>
      <c r="F3992" t="s">
        <v>12</v>
      </c>
      <c r="G3992" s="20">
        <v>1</v>
      </c>
      <c r="H3992" t="s">
        <v>4338</v>
      </c>
      <c r="I3992" t="s">
        <v>32</v>
      </c>
      <c r="J3992" s="9"/>
      <c r="K3992" s="9"/>
      <c r="L3992" s="9"/>
    </row>
    <row r="3993" spans="2:12" ht="15" x14ac:dyDescent="0.25">
      <c r="B3993" t="s">
        <v>3400</v>
      </c>
      <c r="C3993" t="s">
        <v>3401</v>
      </c>
      <c r="D3993" t="str">
        <f>HYPERLINK("https://rhld.insurance.arkansas.gov/NPILookup?Npi=1417388893","1417388893")</f>
        <v>1417388893</v>
      </c>
      <c r="E3993" t="s">
        <v>2629</v>
      </c>
      <c r="F3993" t="s">
        <v>13</v>
      </c>
      <c r="G3993" s="20">
        <v>1</v>
      </c>
      <c r="H3993" t="s">
        <v>3403</v>
      </c>
      <c r="I3993" t="s">
        <v>4357</v>
      </c>
      <c r="J3993" s="9"/>
      <c r="K3993" s="9"/>
      <c r="L3993" s="9"/>
    </row>
    <row r="3994" spans="2:12" ht="15" x14ac:dyDescent="0.25">
      <c r="B3994" t="s">
        <v>3400</v>
      </c>
      <c r="C3994" t="s">
        <v>3401</v>
      </c>
      <c r="D3994" t="str">
        <f>HYPERLINK("https://rhld.insurance.arkansas.gov/NPILookup?Npi=1417456443","1417456443")</f>
        <v>1417456443</v>
      </c>
      <c r="E3994" t="s">
        <v>3712</v>
      </c>
      <c r="F3994" t="s">
        <v>13</v>
      </c>
      <c r="G3994" s="20">
        <v>1</v>
      </c>
      <c r="H3994" t="s">
        <v>3403</v>
      </c>
      <c r="I3994" t="s">
        <v>32</v>
      </c>
      <c r="J3994" s="9"/>
      <c r="K3994" s="9"/>
      <c r="L3994" s="9"/>
    </row>
    <row r="3995" spans="2:12" ht="15" x14ac:dyDescent="0.25">
      <c r="B3995" t="s">
        <v>3400</v>
      </c>
      <c r="C3995" t="s">
        <v>3401</v>
      </c>
      <c r="D3995" t="str">
        <f>HYPERLINK("https://rhld.insurance.arkansas.gov/NPILookup?Npi=1417469693","1417469693")</f>
        <v>1417469693</v>
      </c>
      <c r="E3995" t="s">
        <v>3713</v>
      </c>
      <c r="F3995" t="s">
        <v>13</v>
      </c>
      <c r="G3995" s="20">
        <v>1</v>
      </c>
      <c r="H3995" t="s">
        <v>3403</v>
      </c>
      <c r="I3995" t="s">
        <v>4357</v>
      </c>
      <c r="J3995" s="9"/>
      <c r="K3995" s="9"/>
      <c r="L3995" s="9"/>
    </row>
    <row r="3996" spans="2:12" ht="15" x14ac:dyDescent="0.25">
      <c r="B3996" t="s">
        <v>3400</v>
      </c>
      <c r="C3996" t="s">
        <v>3401</v>
      </c>
      <c r="D3996" t="str">
        <f>HYPERLINK("https://rhld.insurance.arkansas.gov/NPILookup?Npi=1417479965","1417479965")</f>
        <v>1417479965</v>
      </c>
      <c r="E3996" t="s">
        <v>2633</v>
      </c>
      <c r="F3996" t="s">
        <v>13</v>
      </c>
      <c r="G3996" s="20">
        <v>1</v>
      </c>
      <c r="H3996" t="s">
        <v>3403</v>
      </c>
      <c r="I3996" t="s">
        <v>4357</v>
      </c>
      <c r="J3996" s="9"/>
      <c r="K3996" s="9"/>
      <c r="L3996" s="9"/>
    </row>
    <row r="3997" spans="2:12" ht="15" x14ac:dyDescent="0.25">
      <c r="B3997" t="s">
        <v>3400</v>
      </c>
      <c r="C3997" t="s">
        <v>3401</v>
      </c>
      <c r="D3997" t="str">
        <f>HYPERLINK("https://rhld.insurance.arkansas.gov/NPILookup?Npi=1417512070","1417512070")</f>
        <v>1417512070</v>
      </c>
      <c r="E3997" t="s">
        <v>2635</v>
      </c>
      <c r="F3997" t="s">
        <v>13</v>
      </c>
      <c r="G3997" s="20">
        <v>1</v>
      </c>
      <c r="H3997" t="s">
        <v>3403</v>
      </c>
      <c r="I3997" t="s">
        <v>32</v>
      </c>
      <c r="J3997" s="9"/>
      <c r="K3997" s="9"/>
      <c r="L3997" s="9"/>
    </row>
    <row r="3998" spans="2:12" ht="15" x14ac:dyDescent="0.25">
      <c r="B3998" t="s">
        <v>3400</v>
      </c>
      <c r="C3998" t="s">
        <v>3401</v>
      </c>
      <c r="D3998" t="str">
        <f>HYPERLINK("https://rhld.insurance.arkansas.gov/NPILookup?Npi=1417524372","1417524372")</f>
        <v>1417524372</v>
      </c>
      <c r="E3998" t="s">
        <v>3714</v>
      </c>
      <c r="F3998" t="s">
        <v>13</v>
      </c>
      <c r="G3998" s="20">
        <v>1</v>
      </c>
      <c r="H3998" t="s">
        <v>3403</v>
      </c>
      <c r="I3998" t="s">
        <v>32</v>
      </c>
      <c r="J3998" s="9"/>
      <c r="K3998" s="9"/>
      <c r="L3998" s="9"/>
    </row>
    <row r="3999" spans="2:12" ht="15" x14ac:dyDescent="0.25">
      <c r="B3999" t="s">
        <v>3400</v>
      </c>
      <c r="C3999" t="s">
        <v>3401</v>
      </c>
      <c r="D3999" t="str">
        <f>HYPERLINK("https://rhld.insurance.arkansas.gov/NPILookup?Npi=1417720723","1417720723")</f>
        <v>1417720723</v>
      </c>
      <c r="E3999" t="s">
        <v>2069</v>
      </c>
      <c r="F3999" t="s">
        <v>13</v>
      </c>
      <c r="G3999" s="20">
        <v>1</v>
      </c>
      <c r="H3999" t="s">
        <v>4357</v>
      </c>
      <c r="I3999" t="s">
        <v>4357</v>
      </c>
      <c r="J3999" s="9"/>
      <c r="K3999" s="9"/>
      <c r="L3999" s="9"/>
    </row>
    <row r="4000" spans="2:12" ht="15" x14ac:dyDescent="0.25">
      <c r="B4000" t="s">
        <v>3400</v>
      </c>
      <c r="C4000" t="s">
        <v>3401</v>
      </c>
      <c r="D4000" t="str">
        <f>HYPERLINK("https://rhld.insurance.arkansas.gov/NPILookup?Npi=1417793860","1417793860")</f>
        <v>1417793860</v>
      </c>
      <c r="E4000" t="s">
        <v>2636</v>
      </c>
      <c r="F4000" t="s">
        <v>13</v>
      </c>
      <c r="G4000" s="20">
        <v>1</v>
      </c>
      <c r="H4000" t="s">
        <v>4357</v>
      </c>
      <c r="I4000" t="s">
        <v>4357</v>
      </c>
      <c r="J4000" s="9"/>
      <c r="K4000" s="9"/>
      <c r="L4000" s="9"/>
    </row>
    <row r="4001" spans="2:12" ht="15" x14ac:dyDescent="0.25">
      <c r="B4001" t="s">
        <v>3400</v>
      </c>
      <c r="C4001" t="s">
        <v>3401</v>
      </c>
      <c r="D4001" t="str">
        <f>HYPERLINK("https://rhld.insurance.arkansas.gov/NPILookup?Npi=1417796749","1417796749")</f>
        <v>1417796749</v>
      </c>
      <c r="E4001" t="s">
        <v>2637</v>
      </c>
      <c r="F4001" t="s">
        <v>13</v>
      </c>
      <c r="G4001" s="20">
        <v>1</v>
      </c>
      <c r="H4001" t="s">
        <v>4357</v>
      </c>
      <c r="I4001" t="s">
        <v>4357</v>
      </c>
      <c r="J4001" s="9"/>
      <c r="K4001" s="9"/>
      <c r="L4001" s="9"/>
    </row>
    <row r="4002" spans="2:12" ht="15" x14ac:dyDescent="0.25">
      <c r="B4002" t="s">
        <v>3400</v>
      </c>
      <c r="C4002" t="s">
        <v>3401</v>
      </c>
      <c r="D4002" t="str">
        <f>HYPERLINK("https://rhld.insurance.arkansas.gov/NPILookup?Npi=1417922709","1417922709")</f>
        <v>1417922709</v>
      </c>
      <c r="E4002" t="s">
        <v>2639</v>
      </c>
      <c r="F4002" t="s">
        <v>13</v>
      </c>
      <c r="G4002" s="20">
        <v>1</v>
      </c>
      <c r="H4002" t="s">
        <v>3403</v>
      </c>
      <c r="I4002" t="s">
        <v>4357</v>
      </c>
      <c r="J4002" s="9"/>
      <c r="K4002" s="9"/>
      <c r="L4002" s="9"/>
    </row>
    <row r="4003" spans="2:12" ht="15" x14ac:dyDescent="0.25">
      <c r="B4003" t="s">
        <v>3400</v>
      </c>
      <c r="C4003" t="s">
        <v>3401</v>
      </c>
      <c r="D4003" t="str">
        <f>HYPERLINK("https://rhld.insurance.arkansas.gov/NPILookup?Npi=1427021435","1427021435")</f>
        <v>1427021435</v>
      </c>
      <c r="E4003" t="s">
        <v>2641</v>
      </c>
      <c r="F4003" t="s">
        <v>13</v>
      </c>
      <c r="G4003" s="20">
        <v>1</v>
      </c>
      <c r="H4003" t="s">
        <v>4357</v>
      </c>
      <c r="I4003" t="s">
        <v>4357</v>
      </c>
      <c r="J4003" s="9"/>
      <c r="K4003" s="9"/>
      <c r="L4003" s="9"/>
    </row>
    <row r="4004" spans="2:12" ht="15" x14ac:dyDescent="0.25">
      <c r="B4004" t="s">
        <v>3400</v>
      </c>
      <c r="C4004" t="s">
        <v>3401</v>
      </c>
      <c r="D4004" t="str">
        <f>HYPERLINK("https://rhld.insurance.arkansas.gov/NPILookup?Npi=1427088814","1427088814")</f>
        <v>1427088814</v>
      </c>
      <c r="E4004" t="s">
        <v>2642</v>
      </c>
      <c r="F4004" t="s">
        <v>13</v>
      </c>
      <c r="G4004" s="20">
        <v>1</v>
      </c>
      <c r="H4004" t="s">
        <v>3403</v>
      </c>
      <c r="I4004" t="s">
        <v>4357</v>
      </c>
      <c r="J4004" s="9"/>
      <c r="K4004" s="9"/>
      <c r="L4004" s="9"/>
    </row>
    <row r="4005" spans="2:12" ht="15" x14ac:dyDescent="0.25">
      <c r="B4005" t="s">
        <v>3400</v>
      </c>
      <c r="C4005" t="s">
        <v>3401</v>
      </c>
      <c r="D4005" t="str">
        <f>HYPERLINK("https://rhld.insurance.arkansas.gov/NPILookup?Npi=1427437664","1427437664")</f>
        <v>1427437664</v>
      </c>
      <c r="E4005" t="s">
        <v>3715</v>
      </c>
      <c r="F4005" t="s">
        <v>13</v>
      </c>
      <c r="G4005" s="20">
        <v>1</v>
      </c>
      <c r="H4005" t="s">
        <v>4357</v>
      </c>
      <c r="I4005" t="s">
        <v>4357</v>
      </c>
      <c r="J4005" s="9"/>
      <c r="K4005" s="9"/>
      <c r="L4005" s="9"/>
    </row>
    <row r="4006" spans="2:12" ht="15" x14ac:dyDescent="0.25">
      <c r="B4006" t="s">
        <v>3400</v>
      </c>
      <c r="C4006" t="s">
        <v>3401</v>
      </c>
      <c r="D4006" t="str">
        <f>HYPERLINK("https://rhld.insurance.arkansas.gov/NPILookup?Npi=1427443142","1427443142")</f>
        <v>1427443142</v>
      </c>
      <c r="E4006" t="s">
        <v>3716</v>
      </c>
      <c r="F4006" t="s">
        <v>13</v>
      </c>
      <c r="G4006" s="20">
        <v>1</v>
      </c>
      <c r="H4006" t="s">
        <v>87</v>
      </c>
      <c r="I4006" t="s">
        <v>4357</v>
      </c>
      <c r="J4006" s="9"/>
      <c r="K4006" s="9"/>
      <c r="L4006" s="9"/>
    </row>
    <row r="4007" spans="2:12" ht="15" x14ac:dyDescent="0.25">
      <c r="B4007" t="s">
        <v>3400</v>
      </c>
      <c r="C4007" t="s">
        <v>3401</v>
      </c>
      <c r="D4007" t="str">
        <f>HYPERLINK("https://rhld.insurance.arkansas.gov/NPILookup?Npi=1427480565","1427480565")</f>
        <v>1427480565</v>
      </c>
      <c r="E4007" t="s">
        <v>2655</v>
      </c>
      <c r="F4007" t="s">
        <v>13</v>
      </c>
      <c r="G4007" s="20">
        <v>1</v>
      </c>
      <c r="H4007" t="s">
        <v>3403</v>
      </c>
      <c r="I4007" t="s">
        <v>4357</v>
      </c>
      <c r="J4007" s="9"/>
      <c r="K4007" s="9"/>
      <c r="L4007" s="9"/>
    </row>
    <row r="4008" spans="2:12" ht="15" x14ac:dyDescent="0.25">
      <c r="B4008" t="s">
        <v>3400</v>
      </c>
      <c r="C4008" t="s">
        <v>3401</v>
      </c>
      <c r="D4008" t="str">
        <f>HYPERLINK("https://rhld.insurance.arkansas.gov/NPILookup?Npi=1427674472","1427674472")</f>
        <v>1427674472</v>
      </c>
      <c r="E4008" t="s">
        <v>2070</v>
      </c>
      <c r="F4008" t="s">
        <v>13</v>
      </c>
      <c r="G4008" s="20">
        <v>1</v>
      </c>
      <c r="H4008" t="s">
        <v>4357</v>
      </c>
      <c r="I4008" t="s">
        <v>4357</v>
      </c>
      <c r="J4008" s="9"/>
      <c r="K4008" s="9"/>
      <c r="L4008" s="9"/>
    </row>
    <row r="4009" spans="2:12" ht="15" x14ac:dyDescent="0.25">
      <c r="B4009" t="s">
        <v>3400</v>
      </c>
      <c r="C4009" t="s">
        <v>3401</v>
      </c>
      <c r="D4009" t="str">
        <f>HYPERLINK("https://rhld.insurance.arkansas.gov/NPILookup?Npi=1427679133","1427679133")</f>
        <v>1427679133</v>
      </c>
      <c r="E4009" t="s">
        <v>3717</v>
      </c>
      <c r="F4009" t="s">
        <v>13</v>
      </c>
      <c r="G4009" s="20">
        <v>1</v>
      </c>
      <c r="H4009" t="s">
        <v>3403</v>
      </c>
      <c r="I4009" t="s">
        <v>32</v>
      </c>
      <c r="J4009" s="9"/>
      <c r="K4009" s="9"/>
      <c r="L4009" s="9"/>
    </row>
    <row r="4010" spans="2:12" ht="15" x14ac:dyDescent="0.25">
      <c r="B4010" t="s">
        <v>3400</v>
      </c>
      <c r="C4010" t="s">
        <v>3401</v>
      </c>
      <c r="D4010" t="str">
        <f>HYPERLINK("https://rhld.insurance.arkansas.gov/NPILookup?Npi=1427734029","1427734029")</f>
        <v>1427734029</v>
      </c>
      <c r="E4010" t="s">
        <v>3718</v>
      </c>
      <c r="F4010" t="s">
        <v>13</v>
      </c>
      <c r="G4010" s="20">
        <v>1</v>
      </c>
      <c r="H4010" t="s">
        <v>3403</v>
      </c>
      <c r="I4010" t="s">
        <v>32</v>
      </c>
      <c r="J4010" s="9"/>
      <c r="K4010" s="9"/>
      <c r="L4010" s="9"/>
    </row>
    <row r="4011" spans="2:12" ht="15" x14ac:dyDescent="0.25">
      <c r="B4011" t="s">
        <v>3400</v>
      </c>
      <c r="C4011" t="s">
        <v>3401</v>
      </c>
      <c r="D4011" t="str">
        <f>HYPERLINK("https://rhld.insurance.arkansas.gov/NPILookup?Npi=1427737121","1427737121")</f>
        <v>1427737121</v>
      </c>
      <c r="E4011" t="s">
        <v>2658</v>
      </c>
      <c r="F4011" t="s">
        <v>13</v>
      </c>
      <c r="G4011" s="20">
        <v>1</v>
      </c>
      <c r="H4011" t="s">
        <v>4357</v>
      </c>
      <c r="I4011" t="s">
        <v>4357</v>
      </c>
      <c r="J4011" s="9"/>
      <c r="K4011" s="9"/>
      <c r="L4011" s="9"/>
    </row>
    <row r="4012" spans="2:12" ht="15" x14ac:dyDescent="0.25">
      <c r="B4012" t="s">
        <v>3400</v>
      </c>
      <c r="C4012" t="s">
        <v>3401</v>
      </c>
      <c r="D4012" t="str">
        <f>HYPERLINK("https://rhld.insurance.arkansas.gov/NPILookup?Npi=1427738095","1427738095")</f>
        <v>1427738095</v>
      </c>
      <c r="E4012" t="s">
        <v>3719</v>
      </c>
      <c r="F4012" t="s">
        <v>13</v>
      </c>
      <c r="G4012" s="20">
        <v>1</v>
      </c>
      <c r="H4012" t="s">
        <v>3403</v>
      </c>
      <c r="I4012" t="s">
        <v>32</v>
      </c>
      <c r="J4012" s="9"/>
      <c r="K4012" s="9"/>
      <c r="L4012" s="9"/>
    </row>
    <row r="4013" spans="2:12" ht="15" x14ac:dyDescent="0.25">
      <c r="B4013" t="s">
        <v>3400</v>
      </c>
      <c r="C4013" t="s">
        <v>3401</v>
      </c>
      <c r="D4013" t="str">
        <f>HYPERLINK("https://rhld.insurance.arkansas.gov/NPILookup?Npi=1427804483","1427804483")</f>
        <v>1427804483</v>
      </c>
      <c r="E4013" t="s">
        <v>2660</v>
      </c>
      <c r="F4013" t="s">
        <v>13</v>
      </c>
      <c r="G4013" s="20">
        <v>1</v>
      </c>
      <c r="H4013" t="s">
        <v>4357</v>
      </c>
      <c r="I4013" t="s">
        <v>4357</v>
      </c>
      <c r="J4013" s="9"/>
      <c r="K4013" s="9"/>
      <c r="L4013" s="9"/>
    </row>
    <row r="4014" spans="2:12" ht="15" x14ac:dyDescent="0.25">
      <c r="B4014" t="s">
        <v>3400</v>
      </c>
      <c r="C4014" t="s">
        <v>3401</v>
      </c>
      <c r="D4014" t="str">
        <f>HYPERLINK("https://rhld.insurance.arkansas.gov/NPILookup?Npi=1427805944","1427805944")</f>
        <v>1427805944</v>
      </c>
      <c r="E4014" t="s">
        <v>2071</v>
      </c>
      <c r="F4014" t="s">
        <v>13</v>
      </c>
      <c r="G4014" s="20">
        <v>1</v>
      </c>
      <c r="H4014" t="s">
        <v>4357</v>
      </c>
      <c r="I4014" t="s">
        <v>4357</v>
      </c>
      <c r="J4014" s="9"/>
      <c r="K4014" s="9"/>
      <c r="L4014" s="9"/>
    </row>
    <row r="4015" spans="2:12" ht="15" x14ac:dyDescent="0.25">
      <c r="B4015" t="s">
        <v>3400</v>
      </c>
      <c r="C4015" t="s">
        <v>3401</v>
      </c>
      <c r="D4015" t="str">
        <f>HYPERLINK("https://rhld.insurance.arkansas.gov/NPILookup?Npi=1437128790","1437128790")</f>
        <v>1437128790</v>
      </c>
      <c r="E4015" t="s">
        <v>3720</v>
      </c>
      <c r="F4015" t="s">
        <v>13</v>
      </c>
      <c r="G4015" s="20">
        <v>1</v>
      </c>
      <c r="H4015" t="s">
        <v>3403</v>
      </c>
      <c r="I4015" t="s">
        <v>32</v>
      </c>
      <c r="J4015" s="9"/>
      <c r="K4015" s="9"/>
      <c r="L4015" s="9"/>
    </row>
    <row r="4016" spans="2:12" ht="15" x14ac:dyDescent="0.25">
      <c r="B4016" t="s">
        <v>3400</v>
      </c>
      <c r="C4016" t="s">
        <v>3401</v>
      </c>
      <c r="D4016" t="str">
        <f>HYPERLINK("https://rhld.insurance.arkansas.gov/NPILookup?Npi=1437188869","1437188869")</f>
        <v>1437188869</v>
      </c>
      <c r="E4016" t="s">
        <v>3721</v>
      </c>
      <c r="F4016" t="s">
        <v>13</v>
      </c>
      <c r="G4016" s="20">
        <v>1</v>
      </c>
      <c r="H4016" t="s">
        <v>3403</v>
      </c>
      <c r="I4016" t="s">
        <v>32</v>
      </c>
      <c r="J4016" s="9"/>
      <c r="K4016" s="9"/>
      <c r="L4016" s="9"/>
    </row>
    <row r="4017" spans="2:12" ht="15" x14ac:dyDescent="0.25">
      <c r="B4017" t="s">
        <v>3400</v>
      </c>
      <c r="C4017" t="s">
        <v>3401</v>
      </c>
      <c r="D4017" t="str">
        <f>HYPERLINK("https://rhld.insurance.arkansas.gov/NPILookup?Npi=1437192283","1437192283")</f>
        <v>1437192283</v>
      </c>
      <c r="E4017" t="s">
        <v>3722</v>
      </c>
      <c r="F4017" t="s">
        <v>13</v>
      </c>
      <c r="G4017" s="20">
        <v>1</v>
      </c>
      <c r="H4017" t="s">
        <v>3403</v>
      </c>
      <c r="I4017" t="s">
        <v>32</v>
      </c>
      <c r="J4017" s="9"/>
      <c r="K4017" s="9"/>
      <c r="L4017" s="9"/>
    </row>
    <row r="4018" spans="2:12" ht="15" x14ac:dyDescent="0.25">
      <c r="B4018" t="s">
        <v>3400</v>
      </c>
      <c r="C4018" t="s">
        <v>3401</v>
      </c>
      <c r="D4018" t="str">
        <f>HYPERLINK("https://rhld.insurance.arkansas.gov/NPILookup?Npi=1437278181","1437278181")</f>
        <v>1437278181</v>
      </c>
      <c r="E4018" t="s">
        <v>2664</v>
      </c>
      <c r="F4018" t="s">
        <v>13</v>
      </c>
      <c r="G4018" s="20">
        <v>1</v>
      </c>
      <c r="H4018" t="s">
        <v>3403</v>
      </c>
      <c r="I4018" t="s">
        <v>32</v>
      </c>
      <c r="J4018" s="9"/>
      <c r="K4018" s="9"/>
      <c r="L4018" s="9"/>
    </row>
    <row r="4019" spans="2:12" ht="15" x14ac:dyDescent="0.25">
      <c r="B4019" t="s">
        <v>3400</v>
      </c>
      <c r="C4019" t="s">
        <v>3401</v>
      </c>
      <c r="D4019" t="str">
        <f>HYPERLINK("https://rhld.insurance.arkansas.gov/NPILookup?Npi=1437285020","1437285020")</f>
        <v>1437285020</v>
      </c>
      <c r="E4019" t="s">
        <v>2665</v>
      </c>
      <c r="F4019" t="s">
        <v>13</v>
      </c>
      <c r="G4019" s="20">
        <v>1</v>
      </c>
      <c r="H4019" t="s">
        <v>3403</v>
      </c>
      <c r="I4019" t="s">
        <v>4357</v>
      </c>
      <c r="J4019" s="9"/>
      <c r="K4019" s="9"/>
      <c r="L4019" s="9"/>
    </row>
    <row r="4020" spans="2:12" ht="15" x14ac:dyDescent="0.25">
      <c r="B4020" t="s">
        <v>3400</v>
      </c>
      <c r="C4020" t="s">
        <v>3401</v>
      </c>
      <c r="D4020" t="str">
        <f>HYPERLINK("https://rhld.insurance.arkansas.gov/NPILookup?Npi=1437334216","1437334216")</f>
        <v>1437334216</v>
      </c>
      <c r="E4020" t="s">
        <v>2666</v>
      </c>
      <c r="F4020" t="s">
        <v>13</v>
      </c>
      <c r="G4020" s="20">
        <v>1</v>
      </c>
      <c r="H4020" t="s">
        <v>3403</v>
      </c>
      <c r="I4020" t="s">
        <v>4357</v>
      </c>
      <c r="J4020" s="9"/>
      <c r="K4020" s="9"/>
      <c r="L4020" s="9"/>
    </row>
    <row r="4021" spans="2:12" ht="15" x14ac:dyDescent="0.25">
      <c r="B4021" t="s">
        <v>3400</v>
      </c>
      <c r="C4021" t="s">
        <v>3401</v>
      </c>
      <c r="D4021" t="str">
        <f>HYPERLINK("https://rhld.insurance.arkansas.gov/NPILookup?Npi=1437383312","1437383312")</f>
        <v>1437383312</v>
      </c>
      <c r="E4021" t="s">
        <v>2667</v>
      </c>
      <c r="F4021" t="s">
        <v>13</v>
      </c>
      <c r="G4021" s="20">
        <v>1</v>
      </c>
      <c r="H4021" t="s">
        <v>4357</v>
      </c>
      <c r="I4021" t="s">
        <v>4357</v>
      </c>
      <c r="J4021" s="9"/>
      <c r="K4021" s="9"/>
      <c r="L4021" s="9"/>
    </row>
    <row r="4022" spans="2:12" ht="15" x14ac:dyDescent="0.25">
      <c r="B4022" t="s">
        <v>3400</v>
      </c>
      <c r="C4022" t="s">
        <v>3401</v>
      </c>
      <c r="D4022" t="str">
        <f>HYPERLINK("https://rhld.insurance.arkansas.gov/NPILookup?Npi=1437448008","1437448008")</f>
        <v>1437448008</v>
      </c>
      <c r="E4022" t="s">
        <v>3723</v>
      </c>
      <c r="F4022" t="s">
        <v>13</v>
      </c>
      <c r="G4022" s="20">
        <v>1</v>
      </c>
      <c r="H4022" t="s">
        <v>3403</v>
      </c>
      <c r="I4022" t="s">
        <v>32</v>
      </c>
      <c r="J4022" s="9"/>
      <c r="K4022" s="9"/>
      <c r="L4022" s="9"/>
    </row>
    <row r="4023" spans="2:12" ht="15" x14ac:dyDescent="0.25">
      <c r="B4023" t="s">
        <v>3400</v>
      </c>
      <c r="C4023" t="s">
        <v>3401</v>
      </c>
      <c r="D4023" t="str">
        <f>HYPERLINK("https://rhld.insurance.arkansas.gov/NPILookup?Npi=1437684149","1437684149")</f>
        <v>1437684149</v>
      </c>
      <c r="E4023" t="s">
        <v>3724</v>
      </c>
      <c r="F4023" t="s">
        <v>12</v>
      </c>
      <c r="G4023" s="20">
        <v>1</v>
      </c>
      <c r="H4023" t="s">
        <v>4338</v>
      </c>
      <c r="I4023" t="s">
        <v>32</v>
      </c>
      <c r="J4023" s="9"/>
      <c r="K4023" s="9"/>
      <c r="L4023" s="9"/>
    </row>
    <row r="4024" spans="2:12" ht="15" x14ac:dyDescent="0.25">
      <c r="B4024" t="s">
        <v>3400</v>
      </c>
      <c r="C4024" t="s">
        <v>3401</v>
      </c>
      <c r="D4024" t="str">
        <f>HYPERLINK("https://rhld.insurance.arkansas.gov/NPILookup?Npi=1437807260","1437807260")</f>
        <v>1437807260</v>
      </c>
      <c r="E4024" t="s">
        <v>3725</v>
      </c>
      <c r="F4024" t="s">
        <v>13</v>
      </c>
      <c r="G4024" s="20">
        <v>1</v>
      </c>
      <c r="H4024" t="s">
        <v>3403</v>
      </c>
      <c r="I4024" t="s">
        <v>32</v>
      </c>
      <c r="J4024" s="9"/>
      <c r="K4024" s="9"/>
      <c r="L4024" s="9"/>
    </row>
    <row r="4025" spans="2:12" ht="15" x14ac:dyDescent="0.25">
      <c r="B4025" t="s">
        <v>3400</v>
      </c>
      <c r="C4025" t="s">
        <v>3401</v>
      </c>
      <c r="D4025" t="str">
        <f>HYPERLINK("https://rhld.insurance.arkansas.gov/NPILookup?Npi=1437844792","1437844792")</f>
        <v>1437844792</v>
      </c>
      <c r="E4025" t="s">
        <v>3726</v>
      </c>
      <c r="F4025" t="s">
        <v>13</v>
      </c>
      <c r="G4025" s="20">
        <v>1</v>
      </c>
      <c r="H4025" t="s">
        <v>3403</v>
      </c>
      <c r="I4025" t="s">
        <v>4357</v>
      </c>
      <c r="J4025" s="9"/>
      <c r="K4025" s="9"/>
      <c r="L4025" s="9"/>
    </row>
    <row r="4026" spans="2:12" ht="15" x14ac:dyDescent="0.25">
      <c r="B4026" t="s">
        <v>3400</v>
      </c>
      <c r="C4026" t="s">
        <v>3401</v>
      </c>
      <c r="D4026" t="str">
        <f>HYPERLINK("https://rhld.insurance.arkansas.gov/NPILookup?Npi=1437857687","1437857687")</f>
        <v>1437857687</v>
      </c>
      <c r="E4026" t="s">
        <v>3727</v>
      </c>
      <c r="F4026" t="s">
        <v>13</v>
      </c>
      <c r="G4026" s="20">
        <v>1</v>
      </c>
      <c r="H4026" t="s">
        <v>3403</v>
      </c>
      <c r="I4026" t="s">
        <v>4357</v>
      </c>
      <c r="J4026" s="9"/>
      <c r="K4026" s="9"/>
      <c r="L4026" s="9"/>
    </row>
    <row r="4027" spans="2:12" ht="15" x14ac:dyDescent="0.25">
      <c r="B4027" t="s">
        <v>3400</v>
      </c>
      <c r="C4027" t="s">
        <v>3401</v>
      </c>
      <c r="D4027" t="str">
        <f>HYPERLINK("https://rhld.insurance.arkansas.gov/NPILookup?Npi=1437871571","1437871571")</f>
        <v>1437871571</v>
      </c>
      <c r="E4027" t="s">
        <v>3728</v>
      </c>
      <c r="F4027" t="s">
        <v>13</v>
      </c>
      <c r="G4027" s="20">
        <v>1</v>
      </c>
      <c r="H4027" t="s">
        <v>3403</v>
      </c>
      <c r="I4027" t="s">
        <v>32</v>
      </c>
      <c r="J4027" s="9"/>
      <c r="K4027" s="9"/>
      <c r="L4027" s="9"/>
    </row>
    <row r="4028" spans="2:12" ht="15" x14ac:dyDescent="0.25">
      <c r="B4028" t="s">
        <v>3400</v>
      </c>
      <c r="C4028" t="s">
        <v>3401</v>
      </c>
      <c r="D4028" t="str">
        <f>HYPERLINK("https://rhld.insurance.arkansas.gov/NPILookup?Npi=1447012158","1447012158")</f>
        <v>1447012158</v>
      </c>
      <c r="E4028" t="s">
        <v>2675</v>
      </c>
      <c r="F4028" t="s">
        <v>13</v>
      </c>
      <c r="G4028" s="20">
        <v>1</v>
      </c>
      <c r="H4028" t="s">
        <v>4357</v>
      </c>
      <c r="I4028" t="s">
        <v>4357</v>
      </c>
      <c r="J4028" s="9"/>
      <c r="K4028" s="9"/>
      <c r="L4028" s="9"/>
    </row>
    <row r="4029" spans="2:12" ht="15" x14ac:dyDescent="0.25">
      <c r="B4029" t="s">
        <v>3400</v>
      </c>
      <c r="C4029" t="s">
        <v>3401</v>
      </c>
      <c r="D4029" t="str">
        <f>HYPERLINK("https://rhld.insurance.arkansas.gov/NPILookup?Npi=1447058037","1447058037")</f>
        <v>1447058037</v>
      </c>
      <c r="E4029" t="s">
        <v>2676</v>
      </c>
      <c r="F4029" t="s">
        <v>13</v>
      </c>
      <c r="G4029" s="20">
        <v>1</v>
      </c>
      <c r="H4029" t="s">
        <v>4357</v>
      </c>
      <c r="I4029" t="s">
        <v>4357</v>
      </c>
      <c r="J4029" s="9"/>
      <c r="K4029" s="9"/>
      <c r="L4029" s="9"/>
    </row>
    <row r="4030" spans="2:12" ht="15" x14ac:dyDescent="0.25">
      <c r="B4030" t="s">
        <v>3400</v>
      </c>
      <c r="C4030" t="s">
        <v>3401</v>
      </c>
      <c r="D4030" t="str">
        <f>HYPERLINK("https://rhld.insurance.arkansas.gov/NPILookup?Npi=1447074968","1447074968")</f>
        <v>1447074968</v>
      </c>
      <c r="E4030" t="s">
        <v>2072</v>
      </c>
      <c r="F4030" t="s">
        <v>13</v>
      </c>
      <c r="G4030" s="20">
        <v>1</v>
      </c>
      <c r="H4030" t="s">
        <v>4357</v>
      </c>
      <c r="I4030" t="s">
        <v>4357</v>
      </c>
      <c r="J4030" s="9"/>
      <c r="K4030" s="9"/>
      <c r="L4030" s="9"/>
    </row>
    <row r="4031" spans="2:12" ht="15" x14ac:dyDescent="0.25">
      <c r="B4031" t="s">
        <v>3400</v>
      </c>
      <c r="C4031" t="s">
        <v>3401</v>
      </c>
      <c r="D4031" t="str">
        <f>HYPERLINK("https://rhld.insurance.arkansas.gov/NPILookup?Npi=1447075452","1447075452")</f>
        <v>1447075452</v>
      </c>
      <c r="E4031" t="s">
        <v>2677</v>
      </c>
      <c r="F4031" t="s">
        <v>13</v>
      </c>
      <c r="G4031" s="20">
        <v>2</v>
      </c>
      <c r="H4031" t="s">
        <v>439</v>
      </c>
      <c r="I4031" t="s">
        <v>4357</v>
      </c>
      <c r="J4031" s="9"/>
      <c r="K4031" s="9"/>
      <c r="L4031" s="9"/>
    </row>
    <row r="4032" spans="2:12" ht="15" x14ac:dyDescent="0.25">
      <c r="B4032" t="s">
        <v>3400</v>
      </c>
      <c r="C4032" t="s">
        <v>3401</v>
      </c>
      <c r="D4032" t="str">
        <f>HYPERLINK("https://rhld.insurance.arkansas.gov/NPILookup?Npi=1447200365","1447200365")</f>
        <v>1447200365</v>
      </c>
      <c r="E4032" t="s">
        <v>2678</v>
      </c>
      <c r="F4032" t="s">
        <v>13</v>
      </c>
      <c r="G4032" s="20">
        <v>1</v>
      </c>
      <c r="H4032" t="s">
        <v>3403</v>
      </c>
      <c r="I4032" t="s">
        <v>32</v>
      </c>
      <c r="J4032" s="9"/>
      <c r="K4032" s="9"/>
      <c r="L4032" s="9"/>
    </row>
    <row r="4033" spans="2:12" ht="15" x14ac:dyDescent="0.25">
      <c r="B4033" t="s">
        <v>3400</v>
      </c>
      <c r="C4033" t="s">
        <v>3401</v>
      </c>
      <c r="D4033" t="str">
        <f>HYPERLINK("https://rhld.insurance.arkansas.gov/NPILookup?Npi=1447281753","1447281753")</f>
        <v>1447281753</v>
      </c>
      <c r="E4033" t="s">
        <v>2680</v>
      </c>
      <c r="F4033" t="s">
        <v>13</v>
      </c>
      <c r="G4033" s="20">
        <v>1</v>
      </c>
      <c r="H4033" t="s">
        <v>3403</v>
      </c>
      <c r="I4033" t="s">
        <v>4357</v>
      </c>
      <c r="J4033" s="9"/>
      <c r="K4033" s="9"/>
      <c r="L4033" s="9"/>
    </row>
    <row r="4034" spans="2:12" ht="15" x14ac:dyDescent="0.25">
      <c r="B4034" t="s">
        <v>3400</v>
      </c>
      <c r="C4034" t="s">
        <v>3401</v>
      </c>
      <c r="D4034" t="str">
        <f>HYPERLINK("https://rhld.insurance.arkansas.gov/NPILookup?Npi=1447339312","1447339312")</f>
        <v>1447339312</v>
      </c>
      <c r="E4034" t="s">
        <v>2682</v>
      </c>
      <c r="F4034" t="s">
        <v>12</v>
      </c>
      <c r="G4034" s="20">
        <v>1</v>
      </c>
      <c r="H4034" t="s">
        <v>4338</v>
      </c>
      <c r="I4034" t="s">
        <v>4357</v>
      </c>
      <c r="J4034" s="9"/>
      <c r="K4034" s="9"/>
      <c r="L4034" s="9"/>
    </row>
    <row r="4035" spans="2:12" ht="15" x14ac:dyDescent="0.25">
      <c r="B4035" t="s">
        <v>3400</v>
      </c>
      <c r="C4035" t="s">
        <v>3401</v>
      </c>
      <c r="D4035" t="str">
        <f>HYPERLINK("https://rhld.insurance.arkansas.gov/NPILookup?Npi=1447407671","1447407671")</f>
        <v>1447407671</v>
      </c>
      <c r="E4035" t="s">
        <v>3729</v>
      </c>
      <c r="F4035" t="s">
        <v>13</v>
      </c>
      <c r="G4035" s="20">
        <v>1</v>
      </c>
      <c r="H4035" t="s">
        <v>3403</v>
      </c>
      <c r="I4035" t="s">
        <v>32</v>
      </c>
      <c r="J4035" s="9"/>
      <c r="K4035" s="9"/>
      <c r="L4035" s="9"/>
    </row>
    <row r="4036" spans="2:12" ht="15" x14ac:dyDescent="0.25">
      <c r="B4036" t="s">
        <v>3400</v>
      </c>
      <c r="C4036" t="s">
        <v>3401</v>
      </c>
      <c r="D4036" t="str">
        <f>HYPERLINK("https://rhld.insurance.arkansas.gov/NPILookup?Npi=1447460993","1447460993")</f>
        <v>1447460993</v>
      </c>
      <c r="E4036" t="s">
        <v>3730</v>
      </c>
      <c r="F4036" t="s">
        <v>13</v>
      </c>
      <c r="G4036" s="20">
        <v>1</v>
      </c>
      <c r="H4036" t="s">
        <v>3403</v>
      </c>
      <c r="I4036" t="s">
        <v>32</v>
      </c>
      <c r="J4036" s="9"/>
      <c r="K4036" s="9"/>
      <c r="L4036" s="9"/>
    </row>
    <row r="4037" spans="2:12" ht="15" x14ac:dyDescent="0.25">
      <c r="B4037" t="s">
        <v>3400</v>
      </c>
      <c r="C4037" t="s">
        <v>3401</v>
      </c>
      <c r="D4037" t="str">
        <f>HYPERLINK("https://rhld.insurance.arkansas.gov/NPILookup?Npi=1447484860","1447484860")</f>
        <v>1447484860</v>
      </c>
      <c r="E4037" t="s">
        <v>3731</v>
      </c>
      <c r="F4037" t="s">
        <v>13</v>
      </c>
      <c r="G4037" s="20">
        <v>1</v>
      </c>
      <c r="H4037" t="s">
        <v>3403</v>
      </c>
      <c r="I4037" t="s">
        <v>32</v>
      </c>
      <c r="J4037" s="9"/>
      <c r="K4037" s="9"/>
      <c r="L4037" s="9"/>
    </row>
    <row r="4038" spans="2:12" ht="15" x14ac:dyDescent="0.25">
      <c r="B4038" t="s">
        <v>3400</v>
      </c>
      <c r="C4038" t="s">
        <v>3401</v>
      </c>
      <c r="D4038" t="str">
        <f>HYPERLINK("https://rhld.insurance.arkansas.gov/NPILookup?Npi=1447538798","1447538798")</f>
        <v>1447538798</v>
      </c>
      <c r="E4038" t="s">
        <v>3732</v>
      </c>
      <c r="F4038" t="s">
        <v>13</v>
      </c>
      <c r="G4038" s="20">
        <v>1</v>
      </c>
      <c r="H4038" t="s">
        <v>3403</v>
      </c>
      <c r="I4038" t="s">
        <v>4357</v>
      </c>
      <c r="J4038" s="9"/>
      <c r="K4038" s="9"/>
      <c r="L4038" s="9"/>
    </row>
    <row r="4039" spans="2:12" ht="15" x14ac:dyDescent="0.25">
      <c r="B4039" t="s">
        <v>3400</v>
      </c>
      <c r="C4039" t="s">
        <v>3401</v>
      </c>
      <c r="D4039" t="str">
        <f>HYPERLINK("https://rhld.insurance.arkansas.gov/NPILookup?Npi=1447546452","1447546452")</f>
        <v>1447546452</v>
      </c>
      <c r="E4039" t="s">
        <v>3733</v>
      </c>
      <c r="F4039" t="s">
        <v>13</v>
      </c>
      <c r="G4039" s="20">
        <v>1</v>
      </c>
      <c r="H4039" t="s">
        <v>3403</v>
      </c>
      <c r="I4039" t="s">
        <v>32</v>
      </c>
      <c r="J4039" s="9"/>
      <c r="K4039" s="9"/>
      <c r="L4039" s="9"/>
    </row>
    <row r="4040" spans="2:12" ht="15" x14ac:dyDescent="0.25">
      <c r="B4040" t="s">
        <v>3400</v>
      </c>
      <c r="C4040" t="s">
        <v>3401</v>
      </c>
      <c r="D4040" t="str">
        <f>HYPERLINK("https://rhld.insurance.arkansas.gov/NPILookup?Npi=1447602909","1447602909")</f>
        <v>1447602909</v>
      </c>
      <c r="E4040" t="s">
        <v>3734</v>
      </c>
      <c r="F4040" t="s">
        <v>13</v>
      </c>
      <c r="G4040" s="20">
        <v>1</v>
      </c>
      <c r="H4040" t="s">
        <v>3403</v>
      </c>
      <c r="I4040" t="s">
        <v>32</v>
      </c>
      <c r="J4040" s="9"/>
      <c r="K4040" s="9"/>
      <c r="L4040" s="9"/>
    </row>
    <row r="4041" spans="2:12" ht="15" x14ac:dyDescent="0.25">
      <c r="B4041" t="s">
        <v>3400</v>
      </c>
      <c r="C4041" t="s">
        <v>3401</v>
      </c>
      <c r="D4041" t="str">
        <f>HYPERLINK("https://rhld.insurance.arkansas.gov/NPILookup?Npi=1447603808","1447603808")</f>
        <v>1447603808</v>
      </c>
      <c r="E4041" t="s">
        <v>3735</v>
      </c>
      <c r="F4041" t="s">
        <v>13</v>
      </c>
      <c r="G4041" s="20">
        <v>1</v>
      </c>
      <c r="H4041" t="s">
        <v>3403</v>
      </c>
      <c r="I4041" t="s">
        <v>32</v>
      </c>
      <c r="J4041" s="9"/>
      <c r="K4041" s="9"/>
      <c r="L4041" s="9"/>
    </row>
    <row r="4042" spans="2:12" ht="15" x14ac:dyDescent="0.25">
      <c r="B4042" t="s">
        <v>3400</v>
      </c>
      <c r="C4042" t="s">
        <v>3401</v>
      </c>
      <c r="D4042" t="str">
        <f>HYPERLINK("https://rhld.insurance.arkansas.gov/NPILookup?Npi=1447699806","1447699806")</f>
        <v>1447699806</v>
      </c>
      <c r="E4042" t="s">
        <v>947</v>
      </c>
      <c r="F4042" t="s">
        <v>12</v>
      </c>
      <c r="G4042" s="20">
        <v>1</v>
      </c>
      <c r="H4042" t="s">
        <v>139</v>
      </c>
      <c r="I4042" t="s">
        <v>32</v>
      </c>
      <c r="J4042" s="9"/>
      <c r="K4042" s="9"/>
      <c r="L4042" s="9"/>
    </row>
    <row r="4043" spans="2:12" ht="15" x14ac:dyDescent="0.25">
      <c r="B4043" t="s">
        <v>3400</v>
      </c>
      <c r="C4043" t="s">
        <v>3401</v>
      </c>
      <c r="D4043" t="str">
        <f>HYPERLINK("https://rhld.insurance.arkansas.gov/NPILookup?Npi=1447738810","1447738810")</f>
        <v>1447738810</v>
      </c>
      <c r="E4043" t="s">
        <v>3736</v>
      </c>
      <c r="F4043" t="s">
        <v>13</v>
      </c>
      <c r="G4043" s="20">
        <v>1</v>
      </c>
      <c r="H4043" t="s">
        <v>3403</v>
      </c>
      <c r="I4043" t="s">
        <v>4357</v>
      </c>
      <c r="J4043" s="9"/>
      <c r="K4043" s="9"/>
      <c r="L4043" s="9"/>
    </row>
    <row r="4044" spans="2:12" ht="15" x14ac:dyDescent="0.25">
      <c r="B4044" t="s">
        <v>3400</v>
      </c>
      <c r="C4044" t="s">
        <v>3401</v>
      </c>
      <c r="D4044" t="str">
        <f>HYPERLINK("https://rhld.insurance.arkansas.gov/NPILookup?Npi=1447781000","1447781000")</f>
        <v>1447781000</v>
      </c>
      <c r="E4044" t="s">
        <v>3737</v>
      </c>
      <c r="F4044" t="s">
        <v>12</v>
      </c>
      <c r="G4044" s="20">
        <v>1</v>
      </c>
      <c r="H4044" t="s">
        <v>4338</v>
      </c>
      <c r="I4044" t="s">
        <v>32</v>
      </c>
      <c r="J4044" s="9"/>
      <c r="K4044" s="9"/>
      <c r="L4044" s="9"/>
    </row>
    <row r="4045" spans="2:12" ht="15" x14ac:dyDescent="0.25">
      <c r="B4045" t="s">
        <v>3400</v>
      </c>
      <c r="C4045" t="s">
        <v>3401</v>
      </c>
      <c r="D4045" t="str">
        <f>HYPERLINK("https://rhld.insurance.arkansas.gov/NPILookup?Npi=1447788609","1447788609")</f>
        <v>1447788609</v>
      </c>
      <c r="E4045" t="s">
        <v>2686</v>
      </c>
      <c r="F4045" t="s">
        <v>13</v>
      </c>
      <c r="G4045" s="20">
        <v>1</v>
      </c>
      <c r="H4045" t="s">
        <v>3403</v>
      </c>
      <c r="I4045" t="s">
        <v>4357</v>
      </c>
      <c r="J4045" s="9"/>
      <c r="K4045" s="9"/>
      <c r="L4045" s="9"/>
    </row>
    <row r="4046" spans="2:12" ht="15" x14ac:dyDescent="0.25">
      <c r="B4046" t="s">
        <v>3400</v>
      </c>
      <c r="C4046" t="s">
        <v>3401</v>
      </c>
      <c r="D4046" t="str">
        <f>HYPERLINK("https://rhld.insurance.arkansas.gov/NPILookup?Npi=1447806203","1447806203")</f>
        <v>1447806203</v>
      </c>
      <c r="E4046" t="s">
        <v>2687</v>
      </c>
      <c r="F4046" t="s">
        <v>13</v>
      </c>
      <c r="G4046" s="20">
        <v>1</v>
      </c>
      <c r="H4046" t="s">
        <v>3403</v>
      </c>
      <c r="I4046" t="s">
        <v>4357</v>
      </c>
      <c r="J4046" s="9"/>
      <c r="K4046" s="9"/>
      <c r="L4046" s="9"/>
    </row>
    <row r="4047" spans="2:12" ht="15" x14ac:dyDescent="0.25">
      <c r="B4047" t="s">
        <v>3400</v>
      </c>
      <c r="C4047" t="s">
        <v>3401</v>
      </c>
      <c r="D4047" t="str">
        <f>HYPERLINK("https://rhld.insurance.arkansas.gov/NPILookup?Npi=1447928148","1447928148")</f>
        <v>1447928148</v>
      </c>
      <c r="E4047" t="s">
        <v>3738</v>
      </c>
      <c r="F4047" t="s">
        <v>13</v>
      </c>
      <c r="G4047" s="20">
        <v>1</v>
      </c>
      <c r="H4047" t="s">
        <v>3403</v>
      </c>
      <c r="I4047" t="s">
        <v>4357</v>
      </c>
      <c r="J4047" s="9"/>
      <c r="K4047" s="9"/>
      <c r="L4047" s="9"/>
    </row>
    <row r="4048" spans="2:12" ht="15" x14ac:dyDescent="0.25">
      <c r="B4048" t="s">
        <v>3400</v>
      </c>
      <c r="C4048" t="s">
        <v>3401</v>
      </c>
      <c r="D4048" t="str">
        <f>HYPERLINK("https://rhld.insurance.arkansas.gov/NPILookup?Npi=1447977202","1447977202")</f>
        <v>1447977202</v>
      </c>
      <c r="E4048" t="s">
        <v>2690</v>
      </c>
      <c r="F4048" t="s">
        <v>13</v>
      </c>
      <c r="G4048" s="20">
        <v>1</v>
      </c>
      <c r="H4048" t="s">
        <v>4357</v>
      </c>
      <c r="I4048" t="s">
        <v>4357</v>
      </c>
      <c r="J4048" s="9"/>
      <c r="K4048" s="9"/>
      <c r="L4048" s="9"/>
    </row>
    <row r="4049" spans="2:12" ht="15" x14ac:dyDescent="0.25">
      <c r="B4049" t="s">
        <v>3400</v>
      </c>
      <c r="C4049" t="s">
        <v>3401</v>
      </c>
      <c r="D4049" t="str">
        <f>HYPERLINK("https://rhld.insurance.arkansas.gov/NPILookup?Npi=1457099392","1457099392")</f>
        <v>1457099392</v>
      </c>
      <c r="E4049" t="s">
        <v>3739</v>
      </c>
      <c r="F4049" t="s">
        <v>13</v>
      </c>
      <c r="G4049" s="20">
        <v>1</v>
      </c>
      <c r="H4049" t="s">
        <v>3403</v>
      </c>
      <c r="I4049" t="s">
        <v>32</v>
      </c>
      <c r="J4049" s="9"/>
      <c r="K4049" s="9"/>
      <c r="L4049" s="9"/>
    </row>
    <row r="4050" spans="2:12" ht="15" x14ac:dyDescent="0.25">
      <c r="B4050" t="s">
        <v>3400</v>
      </c>
      <c r="C4050" t="s">
        <v>3401</v>
      </c>
      <c r="D4050" t="str">
        <f>HYPERLINK("https://rhld.insurance.arkansas.gov/NPILookup?Npi=1457186462","1457186462")</f>
        <v>1457186462</v>
      </c>
      <c r="E4050" t="s">
        <v>2073</v>
      </c>
      <c r="F4050" t="s">
        <v>13</v>
      </c>
      <c r="G4050" s="20">
        <v>1</v>
      </c>
      <c r="H4050" t="s">
        <v>4357</v>
      </c>
      <c r="I4050" t="s">
        <v>4357</v>
      </c>
      <c r="J4050" s="9"/>
      <c r="K4050" s="9"/>
      <c r="L4050" s="9"/>
    </row>
    <row r="4051" spans="2:12" ht="15" x14ac:dyDescent="0.25">
      <c r="B4051" t="s">
        <v>3400</v>
      </c>
      <c r="C4051" t="s">
        <v>3401</v>
      </c>
      <c r="D4051" t="str">
        <f>HYPERLINK("https://rhld.insurance.arkansas.gov/NPILookup?Npi=1457310476","1457310476")</f>
        <v>1457310476</v>
      </c>
      <c r="E4051" t="s">
        <v>3740</v>
      </c>
      <c r="F4051" t="s">
        <v>13</v>
      </c>
      <c r="G4051" s="20">
        <v>1</v>
      </c>
      <c r="H4051" t="s">
        <v>3403</v>
      </c>
      <c r="I4051" t="s">
        <v>32</v>
      </c>
      <c r="J4051" s="9"/>
      <c r="K4051" s="9"/>
      <c r="L4051" s="9"/>
    </row>
    <row r="4052" spans="2:12" ht="15" x14ac:dyDescent="0.25">
      <c r="B4052" t="s">
        <v>3400</v>
      </c>
      <c r="C4052" t="s">
        <v>3401</v>
      </c>
      <c r="D4052" t="str">
        <f>HYPERLINK("https://rhld.insurance.arkansas.gov/NPILookup?Npi=1457352742","1457352742")</f>
        <v>1457352742</v>
      </c>
      <c r="E4052" t="s">
        <v>2694</v>
      </c>
      <c r="F4052" t="s">
        <v>13</v>
      </c>
      <c r="G4052" s="20">
        <v>1</v>
      </c>
      <c r="H4052" t="s">
        <v>3403</v>
      </c>
      <c r="I4052" t="s">
        <v>4357</v>
      </c>
      <c r="J4052" s="9"/>
      <c r="K4052" s="9"/>
      <c r="L4052" s="9"/>
    </row>
    <row r="4053" spans="2:12" ht="15" x14ac:dyDescent="0.25">
      <c r="B4053" t="s">
        <v>3400</v>
      </c>
      <c r="C4053" t="s">
        <v>3401</v>
      </c>
      <c r="D4053" t="str">
        <f>HYPERLINK("https://rhld.insurance.arkansas.gov/NPILookup?Npi=1457399438","1457399438")</f>
        <v>1457399438</v>
      </c>
      <c r="E4053" t="s">
        <v>3741</v>
      </c>
      <c r="F4053" t="s">
        <v>13</v>
      </c>
      <c r="G4053" s="20">
        <v>1</v>
      </c>
      <c r="H4053" t="s">
        <v>3403</v>
      </c>
      <c r="I4053" t="s">
        <v>32</v>
      </c>
      <c r="J4053" s="9"/>
      <c r="K4053" s="9"/>
      <c r="L4053" s="9"/>
    </row>
    <row r="4054" spans="2:12" ht="15" x14ac:dyDescent="0.25">
      <c r="B4054" t="s">
        <v>3400</v>
      </c>
      <c r="C4054" t="s">
        <v>3401</v>
      </c>
      <c r="D4054" t="str">
        <f>HYPERLINK("https://rhld.insurance.arkansas.gov/NPILookup?Npi=1457425902","1457425902")</f>
        <v>1457425902</v>
      </c>
      <c r="E4054" t="s">
        <v>3742</v>
      </c>
      <c r="F4054" t="s">
        <v>13</v>
      </c>
      <c r="G4054" s="20">
        <v>1</v>
      </c>
      <c r="H4054" t="s">
        <v>3403</v>
      </c>
      <c r="I4054" t="s">
        <v>32</v>
      </c>
      <c r="J4054" s="9"/>
      <c r="K4054" s="9"/>
      <c r="L4054" s="9"/>
    </row>
    <row r="4055" spans="2:12" ht="15" x14ac:dyDescent="0.25">
      <c r="B4055" t="s">
        <v>3400</v>
      </c>
      <c r="C4055" t="s">
        <v>3401</v>
      </c>
      <c r="D4055" t="str">
        <f>HYPERLINK("https://rhld.insurance.arkansas.gov/NPILookup?Npi=1457440034","1457440034")</f>
        <v>1457440034</v>
      </c>
      <c r="E4055" t="s">
        <v>2697</v>
      </c>
      <c r="F4055" t="s">
        <v>13</v>
      </c>
      <c r="G4055" s="20">
        <v>1</v>
      </c>
      <c r="H4055" t="s">
        <v>3403</v>
      </c>
      <c r="I4055" t="s">
        <v>4357</v>
      </c>
      <c r="J4055" s="9"/>
      <c r="K4055" s="9"/>
      <c r="L4055" s="9"/>
    </row>
    <row r="4056" spans="2:12" ht="15" x14ac:dyDescent="0.25">
      <c r="B4056" t="s">
        <v>3400</v>
      </c>
      <c r="C4056" t="s">
        <v>3401</v>
      </c>
      <c r="D4056" t="str">
        <f>HYPERLINK("https://rhld.insurance.arkansas.gov/NPILookup?Npi=1457459182","1457459182")</f>
        <v>1457459182</v>
      </c>
      <c r="E4056" t="s">
        <v>3743</v>
      </c>
      <c r="F4056" t="s">
        <v>13</v>
      </c>
      <c r="G4056" s="20">
        <v>1</v>
      </c>
      <c r="H4056" t="s">
        <v>3403</v>
      </c>
      <c r="I4056" t="s">
        <v>32</v>
      </c>
      <c r="J4056" s="9"/>
      <c r="K4056" s="9"/>
      <c r="L4056" s="9"/>
    </row>
    <row r="4057" spans="2:12" ht="15" x14ac:dyDescent="0.25">
      <c r="B4057" t="s">
        <v>3400</v>
      </c>
      <c r="C4057" t="s">
        <v>3401</v>
      </c>
      <c r="D4057" t="str">
        <f>HYPERLINK("https://rhld.insurance.arkansas.gov/NPILookup?Npi=1457463960","1457463960")</f>
        <v>1457463960</v>
      </c>
      <c r="E4057" t="s">
        <v>2698</v>
      </c>
      <c r="F4057" t="s">
        <v>13</v>
      </c>
      <c r="G4057" s="20">
        <v>1</v>
      </c>
      <c r="H4057" t="s">
        <v>3403</v>
      </c>
      <c r="I4057" t="s">
        <v>4357</v>
      </c>
      <c r="J4057" s="9"/>
      <c r="K4057" s="9"/>
      <c r="L4057" s="9"/>
    </row>
    <row r="4058" spans="2:12" ht="15" x14ac:dyDescent="0.25">
      <c r="B4058" t="s">
        <v>3400</v>
      </c>
      <c r="C4058" t="s">
        <v>3401</v>
      </c>
      <c r="D4058" t="str">
        <f>HYPERLINK("https://rhld.insurance.arkansas.gov/NPILookup?Npi=1457631053","1457631053")</f>
        <v>1457631053</v>
      </c>
      <c r="E4058" t="s">
        <v>2700</v>
      </c>
      <c r="F4058" t="s">
        <v>13</v>
      </c>
      <c r="G4058" s="20">
        <v>1</v>
      </c>
      <c r="H4058" t="s">
        <v>3403</v>
      </c>
      <c r="I4058" t="s">
        <v>4357</v>
      </c>
      <c r="J4058" s="9"/>
      <c r="K4058" s="9"/>
      <c r="L4058" s="9"/>
    </row>
    <row r="4059" spans="2:12" ht="15" x14ac:dyDescent="0.25">
      <c r="B4059" t="s">
        <v>3400</v>
      </c>
      <c r="C4059" t="s">
        <v>3401</v>
      </c>
      <c r="D4059" t="str">
        <f>HYPERLINK("https://rhld.insurance.arkansas.gov/NPILookup?Npi=1457721359","1457721359")</f>
        <v>1457721359</v>
      </c>
      <c r="E4059" t="s">
        <v>3744</v>
      </c>
      <c r="F4059" t="s">
        <v>13</v>
      </c>
      <c r="G4059" s="20">
        <v>1</v>
      </c>
      <c r="H4059" t="s">
        <v>3403</v>
      </c>
      <c r="I4059" t="s">
        <v>32</v>
      </c>
      <c r="J4059" s="9"/>
      <c r="K4059" s="9"/>
      <c r="L4059" s="9"/>
    </row>
    <row r="4060" spans="2:12" ht="15" x14ac:dyDescent="0.25">
      <c r="B4060" t="s">
        <v>3400</v>
      </c>
      <c r="C4060" t="s">
        <v>3401</v>
      </c>
      <c r="D4060" t="str">
        <f>HYPERLINK("https://rhld.insurance.arkansas.gov/NPILookup?Npi=1457818353","1457818353")</f>
        <v>1457818353</v>
      </c>
      <c r="E4060" t="s">
        <v>3745</v>
      </c>
      <c r="F4060" t="s">
        <v>13</v>
      </c>
      <c r="G4060" s="20">
        <v>1</v>
      </c>
      <c r="H4060" t="s">
        <v>3403</v>
      </c>
      <c r="I4060" t="s">
        <v>32</v>
      </c>
      <c r="J4060" s="9"/>
      <c r="K4060" s="9"/>
      <c r="L4060" s="9"/>
    </row>
    <row r="4061" spans="2:12" ht="15" x14ac:dyDescent="0.25">
      <c r="B4061" t="s">
        <v>3400</v>
      </c>
      <c r="C4061" t="s">
        <v>3401</v>
      </c>
      <c r="D4061" t="str">
        <f>HYPERLINK("https://rhld.insurance.arkansas.gov/NPILookup?Npi=1457930075","1457930075")</f>
        <v>1457930075</v>
      </c>
      <c r="E4061" t="s">
        <v>3746</v>
      </c>
      <c r="F4061" t="s">
        <v>13</v>
      </c>
      <c r="G4061" s="20">
        <v>1</v>
      </c>
      <c r="H4061" t="s">
        <v>4357</v>
      </c>
      <c r="I4061" t="s">
        <v>4357</v>
      </c>
      <c r="J4061" s="9"/>
      <c r="K4061" s="9"/>
      <c r="L4061" s="9"/>
    </row>
    <row r="4062" spans="2:12" ht="15" x14ac:dyDescent="0.25">
      <c r="B4062" t="s">
        <v>3400</v>
      </c>
      <c r="C4062" t="s">
        <v>3401</v>
      </c>
      <c r="D4062" t="str">
        <f>HYPERLINK("https://rhld.insurance.arkansas.gov/NPILookup?Npi=1467002691","1467002691")</f>
        <v>1467002691</v>
      </c>
      <c r="E4062" t="s">
        <v>3747</v>
      </c>
      <c r="F4062" t="s">
        <v>13</v>
      </c>
      <c r="G4062" s="20">
        <v>1</v>
      </c>
      <c r="H4062" t="s">
        <v>3403</v>
      </c>
      <c r="I4062" t="s">
        <v>4357</v>
      </c>
      <c r="J4062" s="9"/>
      <c r="K4062" s="9"/>
      <c r="L4062" s="9"/>
    </row>
    <row r="4063" spans="2:12" ht="15" x14ac:dyDescent="0.25">
      <c r="B4063" t="s">
        <v>3400</v>
      </c>
      <c r="C4063" t="s">
        <v>3401</v>
      </c>
      <c r="D4063" t="str">
        <f>HYPERLINK("https://rhld.insurance.arkansas.gov/NPILookup?Npi=1467133074","1467133074")</f>
        <v>1467133074</v>
      </c>
      <c r="E4063" t="s">
        <v>2074</v>
      </c>
      <c r="F4063" t="s">
        <v>13</v>
      </c>
      <c r="G4063" s="20">
        <v>1</v>
      </c>
      <c r="H4063" t="s">
        <v>4357</v>
      </c>
      <c r="I4063" t="s">
        <v>4357</v>
      </c>
      <c r="J4063" s="9"/>
      <c r="K4063" s="9"/>
      <c r="L4063" s="9"/>
    </row>
    <row r="4064" spans="2:12" ht="15" x14ac:dyDescent="0.25">
      <c r="B4064" t="s">
        <v>3400</v>
      </c>
      <c r="C4064" t="s">
        <v>3401</v>
      </c>
      <c r="D4064" t="str">
        <f>HYPERLINK("https://rhld.insurance.arkansas.gov/NPILookup?Npi=1467164475","1467164475")</f>
        <v>1467164475</v>
      </c>
      <c r="E4064" t="s">
        <v>2706</v>
      </c>
      <c r="F4064" t="s">
        <v>13</v>
      </c>
      <c r="G4064" s="20">
        <v>1</v>
      </c>
      <c r="H4064" t="s">
        <v>4357</v>
      </c>
      <c r="I4064" t="s">
        <v>4357</v>
      </c>
      <c r="J4064" s="9"/>
      <c r="K4064" s="9"/>
      <c r="L4064" s="9"/>
    </row>
    <row r="4065" spans="2:12" ht="15" x14ac:dyDescent="0.25">
      <c r="B4065" t="s">
        <v>3400</v>
      </c>
      <c r="C4065" t="s">
        <v>3401</v>
      </c>
      <c r="D4065" t="str">
        <f>HYPERLINK("https://rhld.insurance.arkansas.gov/NPILookup?Npi=1467218990","1467218990")</f>
        <v>1467218990</v>
      </c>
      <c r="E4065" t="s">
        <v>2707</v>
      </c>
      <c r="F4065" t="s">
        <v>13</v>
      </c>
      <c r="G4065" s="20">
        <v>1</v>
      </c>
      <c r="H4065" t="s">
        <v>4357</v>
      </c>
      <c r="I4065" t="s">
        <v>4357</v>
      </c>
      <c r="J4065" s="9"/>
      <c r="K4065" s="9"/>
      <c r="L4065" s="9"/>
    </row>
    <row r="4066" spans="2:12" ht="15" x14ac:dyDescent="0.25">
      <c r="B4066" t="s">
        <v>3400</v>
      </c>
      <c r="C4066" t="s">
        <v>3401</v>
      </c>
      <c r="D4066" t="str">
        <f>HYPERLINK("https://rhld.insurance.arkansas.gov/NPILookup?Npi=1467230334","1467230334")</f>
        <v>1467230334</v>
      </c>
      <c r="E4066" t="s">
        <v>2708</v>
      </c>
      <c r="F4066" t="s">
        <v>13</v>
      </c>
      <c r="G4066" s="20">
        <v>1</v>
      </c>
      <c r="H4066" t="s">
        <v>4357</v>
      </c>
      <c r="I4066" t="s">
        <v>4357</v>
      </c>
      <c r="J4066" s="9"/>
      <c r="K4066" s="9"/>
      <c r="L4066" s="9"/>
    </row>
    <row r="4067" spans="2:12" ht="15" x14ac:dyDescent="0.25">
      <c r="B4067" t="s">
        <v>3400</v>
      </c>
      <c r="C4067" t="s">
        <v>3401</v>
      </c>
      <c r="D4067" t="str">
        <f>HYPERLINK("https://rhld.insurance.arkansas.gov/NPILookup?Npi=1467251470","1467251470")</f>
        <v>1467251470</v>
      </c>
      <c r="E4067" t="s">
        <v>2709</v>
      </c>
      <c r="F4067" t="s">
        <v>13</v>
      </c>
      <c r="G4067" s="20">
        <v>1</v>
      </c>
      <c r="H4067" t="s">
        <v>4357</v>
      </c>
      <c r="I4067" t="s">
        <v>4357</v>
      </c>
      <c r="J4067" s="9"/>
      <c r="K4067" s="9"/>
      <c r="L4067" s="9"/>
    </row>
    <row r="4068" spans="2:12" ht="15" x14ac:dyDescent="0.25">
      <c r="B4068" t="s">
        <v>3400</v>
      </c>
      <c r="C4068" t="s">
        <v>3401</v>
      </c>
      <c r="D4068" t="str">
        <f>HYPERLINK("https://rhld.insurance.arkansas.gov/NPILookup?Npi=1467428847","1467428847")</f>
        <v>1467428847</v>
      </c>
      <c r="E4068" t="s">
        <v>3748</v>
      </c>
      <c r="F4068" t="s">
        <v>13</v>
      </c>
      <c r="G4068" s="20">
        <v>1</v>
      </c>
      <c r="H4068" t="s">
        <v>3403</v>
      </c>
      <c r="I4068" t="s">
        <v>32</v>
      </c>
      <c r="J4068" s="9"/>
      <c r="K4068" s="9"/>
      <c r="L4068" s="9"/>
    </row>
    <row r="4069" spans="2:12" ht="15" x14ac:dyDescent="0.25">
      <c r="B4069" t="s">
        <v>3400</v>
      </c>
      <c r="C4069" t="s">
        <v>3401</v>
      </c>
      <c r="D4069" t="str">
        <f>HYPERLINK("https://rhld.insurance.arkansas.gov/NPILookup?Npi=1467436725","1467436725")</f>
        <v>1467436725</v>
      </c>
      <c r="E4069" t="s">
        <v>3749</v>
      </c>
      <c r="F4069" t="s">
        <v>12</v>
      </c>
      <c r="G4069" s="20">
        <v>1</v>
      </c>
      <c r="H4069" t="s">
        <v>4338</v>
      </c>
      <c r="I4069" t="s">
        <v>32</v>
      </c>
      <c r="J4069" s="9"/>
      <c r="K4069" s="9"/>
      <c r="L4069" s="9"/>
    </row>
    <row r="4070" spans="2:12" ht="15" x14ac:dyDescent="0.25">
      <c r="B4070" t="s">
        <v>3400</v>
      </c>
      <c r="C4070" t="s">
        <v>3401</v>
      </c>
      <c r="D4070" t="str">
        <f>HYPERLINK("https://rhld.insurance.arkansas.gov/NPILookup?Npi=1467487751","1467487751")</f>
        <v>1467487751</v>
      </c>
      <c r="E4070" t="s">
        <v>3750</v>
      </c>
      <c r="F4070" t="s">
        <v>13</v>
      </c>
      <c r="G4070" s="20">
        <v>1</v>
      </c>
      <c r="H4070" t="s">
        <v>3403</v>
      </c>
      <c r="I4070" t="s">
        <v>32</v>
      </c>
      <c r="J4070" s="9"/>
      <c r="K4070" s="9"/>
      <c r="L4070" s="9"/>
    </row>
    <row r="4071" spans="2:12" ht="15" x14ac:dyDescent="0.25">
      <c r="B4071" t="s">
        <v>3400</v>
      </c>
      <c r="C4071" t="s">
        <v>3401</v>
      </c>
      <c r="D4071" t="str">
        <f>HYPERLINK("https://rhld.insurance.arkansas.gov/NPILookup?Npi=1467488791","1467488791")</f>
        <v>1467488791</v>
      </c>
      <c r="E4071" t="s">
        <v>633</v>
      </c>
      <c r="F4071" t="s">
        <v>12</v>
      </c>
      <c r="G4071" s="20">
        <v>1</v>
      </c>
      <c r="H4071" t="s">
        <v>4338</v>
      </c>
      <c r="I4071" t="s">
        <v>32</v>
      </c>
      <c r="J4071" s="9"/>
      <c r="K4071" s="9"/>
      <c r="L4071" s="9"/>
    </row>
    <row r="4072" spans="2:12" ht="15" x14ac:dyDescent="0.25">
      <c r="B4072" t="s">
        <v>3400</v>
      </c>
      <c r="C4072" t="s">
        <v>3401</v>
      </c>
      <c r="D4072" t="str">
        <f>HYPERLINK("https://rhld.insurance.arkansas.gov/NPILookup?Npi=1467573360","1467573360")</f>
        <v>1467573360</v>
      </c>
      <c r="E4072" t="s">
        <v>3751</v>
      </c>
      <c r="F4072" t="s">
        <v>13</v>
      </c>
      <c r="G4072" s="20">
        <v>1</v>
      </c>
      <c r="H4072" t="s">
        <v>3403</v>
      </c>
      <c r="I4072" t="s">
        <v>32</v>
      </c>
      <c r="J4072" s="9"/>
      <c r="K4072" s="9"/>
      <c r="L4072" s="9"/>
    </row>
    <row r="4073" spans="2:12" ht="15" x14ac:dyDescent="0.25">
      <c r="B4073" t="s">
        <v>3400</v>
      </c>
      <c r="C4073" t="s">
        <v>3401</v>
      </c>
      <c r="D4073" t="str">
        <f>HYPERLINK("https://rhld.insurance.arkansas.gov/NPILookup?Npi=1467594770","1467594770")</f>
        <v>1467594770</v>
      </c>
      <c r="E4073" t="s">
        <v>3752</v>
      </c>
      <c r="F4073" t="s">
        <v>13</v>
      </c>
      <c r="G4073" s="20">
        <v>1</v>
      </c>
      <c r="H4073" t="s">
        <v>3403</v>
      </c>
      <c r="I4073" t="s">
        <v>4357</v>
      </c>
      <c r="J4073" s="9"/>
      <c r="K4073" s="9"/>
      <c r="L4073" s="9"/>
    </row>
    <row r="4074" spans="2:12" ht="15" x14ac:dyDescent="0.25">
      <c r="B4074" t="s">
        <v>3400</v>
      </c>
      <c r="C4074" t="s">
        <v>3401</v>
      </c>
      <c r="D4074" t="str">
        <f>HYPERLINK("https://rhld.insurance.arkansas.gov/NPILookup?Npi=1467613000","1467613000")</f>
        <v>1467613000</v>
      </c>
      <c r="E4074" t="s">
        <v>3753</v>
      </c>
      <c r="F4074" t="s">
        <v>13</v>
      </c>
      <c r="G4074" s="20">
        <v>1</v>
      </c>
      <c r="H4074" t="s">
        <v>3403</v>
      </c>
      <c r="I4074" t="s">
        <v>32</v>
      </c>
      <c r="J4074" s="9"/>
      <c r="K4074" s="9"/>
      <c r="L4074" s="9"/>
    </row>
    <row r="4075" spans="2:12" ht="15" x14ac:dyDescent="0.25">
      <c r="B4075" t="s">
        <v>3400</v>
      </c>
      <c r="C4075" t="s">
        <v>3401</v>
      </c>
      <c r="D4075" t="str">
        <f>HYPERLINK("https://rhld.insurance.arkansas.gov/NPILookup?Npi=1467654715","1467654715")</f>
        <v>1467654715</v>
      </c>
      <c r="E4075" t="s">
        <v>343</v>
      </c>
      <c r="F4075" t="s">
        <v>13</v>
      </c>
      <c r="G4075" s="20">
        <v>1</v>
      </c>
      <c r="H4075" t="s">
        <v>3403</v>
      </c>
      <c r="I4075" t="s">
        <v>4357</v>
      </c>
      <c r="J4075" s="9"/>
      <c r="K4075" s="9"/>
      <c r="L4075" s="9"/>
    </row>
    <row r="4076" spans="2:12" ht="15" x14ac:dyDescent="0.25">
      <c r="B4076" t="s">
        <v>3400</v>
      </c>
      <c r="C4076" t="s">
        <v>3401</v>
      </c>
      <c r="D4076" t="str">
        <f>HYPERLINK("https://rhld.insurance.arkansas.gov/NPILookup?Npi=1467740225","1467740225")</f>
        <v>1467740225</v>
      </c>
      <c r="E4076" t="s">
        <v>3754</v>
      </c>
      <c r="F4076" t="s">
        <v>13</v>
      </c>
      <c r="G4076" s="20">
        <v>1</v>
      </c>
      <c r="H4076" t="s">
        <v>3403</v>
      </c>
      <c r="I4076" t="s">
        <v>32</v>
      </c>
      <c r="J4076" s="9"/>
      <c r="K4076" s="9"/>
      <c r="L4076" s="9"/>
    </row>
    <row r="4077" spans="2:12" ht="15" x14ac:dyDescent="0.25">
      <c r="B4077" t="s">
        <v>3400</v>
      </c>
      <c r="C4077" t="s">
        <v>3401</v>
      </c>
      <c r="D4077" t="str">
        <f>HYPERLINK("https://rhld.insurance.arkansas.gov/NPILookup?Npi=1467793679","1467793679")</f>
        <v>1467793679</v>
      </c>
      <c r="E4077" t="s">
        <v>2714</v>
      </c>
      <c r="F4077" t="s">
        <v>13</v>
      </c>
      <c r="G4077" s="20">
        <v>1</v>
      </c>
      <c r="H4077" t="s">
        <v>3403</v>
      </c>
      <c r="I4077" t="s">
        <v>4357</v>
      </c>
      <c r="J4077" s="9"/>
      <c r="K4077" s="9"/>
      <c r="L4077" s="9"/>
    </row>
    <row r="4078" spans="2:12" ht="15" x14ac:dyDescent="0.25">
      <c r="B4078" t="s">
        <v>3400</v>
      </c>
      <c r="C4078" t="s">
        <v>3401</v>
      </c>
      <c r="D4078" t="str">
        <f>HYPERLINK("https://rhld.insurance.arkansas.gov/NPILookup?Npi=1467814137","1467814137")</f>
        <v>1467814137</v>
      </c>
      <c r="E4078" t="s">
        <v>3755</v>
      </c>
      <c r="F4078" t="s">
        <v>13</v>
      </c>
      <c r="G4078" s="20">
        <v>1</v>
      </c>
      <c r="H4078" t="s">
        <v>3403</v>
      </c>
      <c r="I4078" t="s">
        <v>32</v>
      </c>
      <c r="J4078" s="9"/>
      <c r="K4078" s="9"/>
      <c r="L4078" s="9"/>
    </row>
    <row r="4079" spans="2:12" ht="15" x14ac:dyDescent="0.25">
      <c r="B4079" t="s">
        <v>3400</v>
      </c>
      <c r="C4079" t="s">
        <v>3401</v>
      </c>
      <c r="D4079" t="str">
        <f>HYPERLINK("https://rhld.insurance.arkansas.gov/NPILookup?Npi=1467871509","1467871509")</f>
        <v>1467871509</v>
      </c>
      <c r="E4079" t="s">
        <v>3756</v>
      </c>
      <c r="F4079" t="s">
        <v>12</v>
      </c>
      <c r="G4079" s="20">
        <v>1</v>
      </c>
      <c r="H4079" t="s">
        <v>4338</v>
      </c>
      <c r="I4079" t="s">
        <v>32</v>
      </c>
      <c r="J4079" s="9"/>
      <c r="K4079" s="9"/>
      <c r="L4079" s="9"/>
    </row>
    <row r="4080" spans="2:12" ht="15" x14ac:dyDescent="0.25">
      <c r="B4080" t="s">
        <v>3400</v>
      </c>
      <c r="C4080" t="s">
        <v>3401</v>
      </c>
      <c r="D4080" t="str">
        <f>HYPERLINK("https://rhld.insurance.arkansas.gov/NPILookup?Npi=1467908970","1467908970")</f>
        <v>1467908970</v>
      </c>
      <c r="E4080" t="s">
        <v>3757</v>
      </c>
      <c r="F4080" t="s">
        <v>13</v>
      </c>
      <c r="G4080" s="20">
        <v>1</v>
      </c>
      <c r="H4080" t="s">
        <v>3403</v>
      </c>
      <c r="I4080" t="s">
        <v>32</v>
      </c>
      <c r="J4080" s="9"/>
      <c r="K4080" s="9"/>
      <c r="L4080" s="9"/>
    </row>
    <row r="4081" spans="2:12" ht="15" x14ac:dyDescent="0.25">
      <c r="B4081" t="s">
        <v>3400</v>
      </c>
      <c r="C4081" t="s">
        <v>3401</v>
      </c>
      <c r="D4081" t="str">
        <f>HYPERLINK("https://rhld.insurance.arkansas.gov/NPILookup?Npi=1467909366","1467909366")</f>
        <v>1467909366</v>
      </c>
      <c r="E4081" t="s">
        <v>2715</v>
      </c>
      <c r="F4081" t="s">
        <v>13</v>
      </c>
      <c r="G4081" s="20">
        <v>1</v>
      </c>
      <c r="H4081" t="s">
        <v>4357</v>
      </c>
      <c r="I4081" t="s">
        <v>4357</v>
      </c>
      <c r="J4081" s="9"/>
      <c r="K4081" s="9"/>
      <c r="L4081" s="9"/>
    </row>
    <row r="4082" spans="2:12" ht="15" x14ac:dyDescent="0.25">
      <c r="B4082" t="s">
        <v>3400</v>
      </c>
      <c r="C4082" t="s">
        <v>3401</v>
      </c>
      <c r="D4082" t="str">
        <f>HYPERLINK("https://rhld.insurance.arkansas.gov/NPILookup?Npi=1477065803","1477065803")</f>
        <v>1477065803</v>
      </c>
      <c r="E4082" t="s">
        <v>2717</v>
      </c>
      <c r="F4082" t="s">
        <v>13</v>
      </c>
      <c r="G4082" s="20">
        <v>1</v>
      </c>
      <c r="H4082" t="s">
        <v>4357</v>
      </c>
      <c r="I4082" t="s">
        <v>4357</v>
      </c>
      <c r="J4082" s="9"/>
      <c r="K4082" s="9"/>
      <c r="L4082" s="9"/>
    </row>
    <row r="4083" spans="2:12" ht="15" x14ac:dyDescent="0.25">
      <c r="B4083" t="s">
        <v>3400</v>
      </c>
      <c r="C4083" t="s">
        <v>3401</v>
      </c>
      <c r="D4083" t="str">
        <f>HYPERLINK("https://rhld.insurance.arkansas.gov/NPILookup?Npi=1477127330","1477127330")</f>
        <v>1477127330</v>
      </c>
      <c r="E4083" t="s">
        <v>2718</v>
      </c>
      <c r="F4083" t="s">
        <v>13</v>
      </c>
      <c r="G4083" s="20">
        <v>1</v>
      </c>
      <c r="H4083" t="s">
        <v>3403</v>
      </c>
      <c r="I4083" t="s">
        <v>4357</v>
      </c>
      <c r="J4083" s="9"/>
      <c r="K4083" s="9"/>
      <c r="L4083" s="9"/>
    </row>
    <row r="4084" spans="2:12" ht="15" x14ac:dyDescent="0.25">
      <c r="B4084" t="s">
        <v>3400</v>
      </c>
      <c r="C4084" t="s">
        <v>3401</v>
      </c>
      <c r="D4084" t="str">
        <f>HYPERLINK("https://rhld.insurance.arkansas.gov/NPILookup?Npi=1477234490","1477234490")</f>
        <v>1477234490</v>
      </c>
      <c r="E4084" t="s">
        <v>2719</v>
      </c>
      <c r="F4084" t="s">
        <v>13</v>
      </c>
      <c r="G4084" s="20">
        <v>1</v>
      </c>
      <c r="H4084" t="s">
        <v>4357</v>
      </c>
      <c r="I4084" t="s">
        <v>4357</v>
      </c>
      <c r="J4084" s="9"/>
      <c r="K4084" s="9"/>
      <c r="L4084" s="9"/>
    </row>
    <row r="4085" spans="2:12" ht="15" x14ac:dyDescent="0.25">
      <c r="B4085" t="s">
        <v>3400</v>
      </c>
      <c r="C4085" t="s">
        <v>3401</v>
      </c>
      <c r="D4085" t="str">
        <f>HYPERLINK("https://rhld.insurance.arkansas.gov/NPILookup?Npi=1477374973","1477374973")</f>
        <v>1477374973</v>
      </c>
      <c r="E4085" t="s">
        <v>2075</v>
      </c>
      <c r="F4085" t="s">
        <v>13</v>
      </c>
      <c r="G4085" s="20">
        <v>1</v>
      </c>
      <c r="H4085" t="s">
        <v>4357</v>
      </c>
      <c r="I4085" t="s">
        <v>4357</v>
      </c>
      <c r="J4085" s="9"/>
      <c r="K4085" s="9"/>
      <c r="L4085" s="9"/>
    </row>
    <row r="4086" spans="2:12" ht="15" x14ac:dyDescent="0.25">
      <c r="B4086" t="s">
        <v>3400</v>
      </c>
      <c r="C4086" t="s">
        <v>3401</v>
      </c>
      <c r="D4086" t="str">
        <f>HYPERLINK("https://rhld.insurance.arkansas.gov/NPILookup?Npi=1477540532","1477540532")</f>
        <v>1477540532</v>
      </c>
      <c r="E4086" t="s">
        <v>3758</v>
      </c>
      <c r="F4086" t="s">
        <v>13</v>
      </c>
      <c r="G4086" s="20">
        <v>1</v>
      </c>
      <c r="H4086" t="s">
        <v>3403</v>
      </c>
      <c r="I4086" t="s">
        <v>32</v>
      </c>
      <c r="J4086" s="9"/>
      <c r="K4086" s="9"/>
      <c r="L4086" s="9"/>
    </row>
    <row r="4087" spans="2:12" ht="15" x14ac:dyDescent="0.25">
      <c r="B4087" t="s">
        <v>3400</v>
      </c>
      <c r="C4087" t="s">
        <v>3401</v>
      </c>
      <c r="D4087" t="str">
        <f>HYPERLINK("https://rhld.insurance.arkansas.gov/NPILookup?Npi=1477632099","1477632099")</f>
        <v>1477632099</v>
      </c>
      <c r="E4087" t="s">
        <v>2725</v>
      </c>
      <c r="F4087" t="s">
        <v>13</v>
      </c>
      <c r="G4087" s="20">
        <v>1</v>
      </c>
      <c r="H4087" t="s">
        <v>3403</v>
      </c>
      <c r="I4087" t="s">
        <v>32</v>
      </c>
      <c r="J4087" s="9"/>
      <c r="K4087" s="9"/>
      <c r="L4087" s="9"/>
    </row>
    <row r="4088" spans="2:12" ht="15" x14ac:dyDescent="0.25">
      <c r="B4088" t="s">
        <v>3400</v>
      </c>
      <c r="C4088" t="s">
        <v>3401</v>
      </c>
      <c r="D4088" t="str">
        <f>HYPERLINK("https://rhld.insurance.arkansas.gov/NPILookup?Npi=1477706836","1477706836")</f>
        <v>1477706836</v>
      </c>
      <c r="E4088" t="s">
        <v>2729</v>
      </c>
      <c r="F4088" t="s">
        <v>13</v>
      </c>
      <c r="G4088" s="20">
        <v>1</v>
      </c>
      <c r="H4088" t="s">
        <v>3403</v>
      </c>
      <c r="I4088" t="s">
        <v>4357</v>
      </c>
      <c r="J4088" s="9"/>
      <c r="K4088" s="9"/>
      <c r="L4088" s="9"/>
    </row>
    <row r="4089" spans="2:12" ht="15" x14ac:dyDescent="0.25">
      <c r="B4089" t="s">
        <v>3400</v>
      </c>
      <c r="C4089" t="s">
        <v>3401</v>
      </c>
      <c r="D4089" t="str">
        <f>HYPERLINK("https://rhld.insurance.arkansas.gov/NPILookup?Npi=1477782621","1477782621")</f>
        <v>1477782621</v>
      </c>
      <c r="E4089" t="s">
        <v>2730</v>
      </c>
      <c r="F4089" t="s">
        <v>13</v>
      </c>
      <c r="G4089" s="20">
        <v>1</v>
      </c>
      <c r="H4089" t="s">
        <v>3403</v>
      </c>
      <c r="I4089" t="s">
        <v>4357</v>
      </c>
      <c r="J4089" s="9"/>
      <c r="K4089" s="9"/>
      <c r="L4089" s="9"/>
    </row>
    <row r="4090" spans="2:12" ht="15" x14ac:dyDescent="0.25">
      <c r="B4090" t="s">
        <v>3400</v>
      </c>
      <c r="C4090" t="s">
        <v>3401</v>
      </c>
      <c r="D4090" t="str">
        <f>HYPERLINK("https://rhld.insurance.arkansas.gov/NPILookup?Npi=1477787638","1477787638")</f>
        <v>1477787638</v>
      </c>
      <c r="E4090" t="s">
        <v>3759</v>
      </c>
      <c r="F4090" t="s">
        <v>12</v>
      </c>
      <c r="G4090" s="20">
        <v>1</v>
      </c>
      <c r="H4090" t="s">
        <v>139</v>
      </c>
      <c r="I4090" t="s">
        <v>32</v>
      </c>
      <c r="J4090" s="9"/>
      <c r="K4090" s="9"/>
      <c r="L4090" s="9"/>
    </row>
    <row r="4091" spans="2:12" ht="15" x14ac:dyDescent="0.25">
      <c r="B4091" t="s">
        <v>3400</v>
      </c>
      <c r="C4091" t="s">
        <v>3401</v>
      </c>
      <c r="D4091" t="str">
        <f>HYPERLINK("https://rhld.insurance.arkansas.gov/NPILookup?Npi=1477903680","1477903680")</f>
        <v>1477903680</v>
      </c>
      <c r="E4091" t="s">
        <v>3760</v>
      </c>
      <c r="F4091" t="s">
        <v>13</v>
      </c>
      <c r="G4091" s="20">
        <v>1</v>
      </c>
      <c r="H4091" t="s">
        <v>3403</v>
      </c>
      <c r="I4091" t="s">
        <v>4357</v>
      </c>
      <c r="J4091" s="9"/>
      <c r="K4091" s="9"/>
      <c r="L4091" s="9"/>
    </row>
    <row r="4092" spans="2:12" ht="15" x14ac:dyDescent="0.25">
      <c r="B4092" t="s">
        <v>3400</v>
      </c>
      <c r="C4092" t="s">
        <v>3401</v>
      </c>
      <c r="D4092" t="str">
        <f>HYPERLINK("https://rhld.insurance.arkansas.gov/NPILookup?Npi=1477932242","1477932242")</f>
        <v>1477932242</v>
      </c>
      <c r="E4092" t="s">
        <v>3761</v>
      </c>
      <c r="F4092" t="s">
        <v>13</v>
      </c>
      <c r="G4092" s="20">
        <v>1</v>
      </c>
      <c r="H4092" t="s">
        <v>3403</v>
      </c>
      <c r="I4092" t="s">
        <v>32</v>
      </c>
      <c r="J4092" s="9"/>
      <c r="K4092" s="9"/>
      <c r="L4092" s="9"/>
    </row>
    <row r="4093" spans="2:12" ht="15" x14ac:dyDescent="0.25">
      <c r="B4093" t="s">
        <v>3400</v>
      </c>
      <c r="C4093" t="s">
        <v>3401</v>
      </c>
      <c r="D4093" t="str">
        <f>HYPERLINK("https://rhld.insurance.arkansas.gov/NPILookup?Npi=1477933893","1477933893")</f>
        <v>1477933893</v>
      </c>
      <c r="E4093" t="s">
        <v>2731</v>
      </c>
      <c r="F4093" t="s">
        <v>13</v>
      </c>
      <c r="G4093" s="20">
        <v>1</v>
      </c>
      <c r="H4093" t="s">
        <v>4357</v>
      </c>
      <c r="I4093" t="s">
        <v>4357</v>
      </c>
      <c r="J4093" s="9"/>
      <c r="K4093" s="9"/>
      <c r="L4093" s="9"/>
    </row>
    <row r="4094" spans="2:12" ht="15" x14ac:dyDescent="0.25">
      <c r="B4094" t="s">
        <v>3400</v>
      </c>
      <c r="C4094" t="s">
        <v>3401</v>
      </c>
      <c r="D4094" t="str">
        <f>HYPERLINK("https://rhld.insurance.arkansas.gov/NPILookup?Npi=1477996619","1477996619")</f>
        <v>1477996619</v>
      </c>
      <c r="E4094" t="s">
        <v>3762</v>
      </c>
      <c r="F4094" t="s">
        <v>12</v>
      </c>
      <c r="G4094" s="20">
        <v>1</v>
      </c>
      <c r="H4094" t="s">
        <v>4338</v>
      </c>
      <c r="I4094" t="s">
        <v>32</v>
      </c>
      <c r="J4094" s="9"/>
      <c r="K4094" s="9"/>
      <c r="L4094" s="9"/>
    </row>
    <row r="4095" spans="2:12" ht="15" x14ac:dyDescent="0.25">
      <c r="B4095" t="s">
        <v>3400</v>
      </c>
      <c r="C4095" t="s">
        <v>3401</v>
      </c>
      <c r="D4095" t="str">
        <f>HYPERLINK("https://rhld.insurance.arkansas.gov/NPILookup?Npi=1487020855","1487020855")</f>
        <v>1487020855</v>
      </c>
      <c r="E4095" t="s">
        <v>3763</v>
      </c>
      <c r="F4095" t="s">
        <v>13</v>
      </c>
      <c r="G4095" s="20">
        <v>1</v>
      </c>
      <c r="H4095" t="s">
        <v>3403</v>
      </c>
      <c r="I4095" t="s">
        <v>32</v>
      </c>
      <c r="J4095" s="9"/>
      <c r="K4095" s="9"/>
      <c r="L4095" s="9"/>
    </row>
    <row r="4096" spans="2:12" ht="15" x14ac:dyDescent="0.25">
      <c r="B4096" t="s">
        <v>3400</v>
      </c>
      <c r="C4096" t="s">
        <v>3401</v>
      </c>
      <c r="D4096" t="str">
        <f>HYPERLINK("https://rhld.insurance.arkansas.gov/NPILookup?Npi=1487049953","1487049953")</f>
        <v>1487049953</v>
      </c>
      <c r="E4096" t="s">
        <v>3764</v>
      </c>
      <c r="F4096" t="s">
        <v>13</v>
      </c>
      <c r="G4096" s="20">
        <v>1</v>
      </c>
      <c r="H4096" t="s">
        <v>3403</v>
      </c>
      <c r="I4096" t="s">
        <v>32</v>
      </c>
      <c r="J4096" s="9"/>
      <c r="K4096" s="9"/>
      <c r="L4096" s="9"/>
    </row>
    <row r="4097" spans="2:12" ht="15" x14ac:dyDescent="0.25">
      <c r="B4097" t="s">
        <v>3400</v>
      </c>
      <c r="C4097" t="s">
        <v>3401</v>
      </c>
      <c r="D4097" t="str">
        <f>HYPERLINK("https://rhld.insurance.arkansas.gov/NPILookup?Npi=1487141420","1487141420")</f>
        <v>1487141420</v>
      </c>
      <c r="E4097" t="s">
        <v>3765</v>
      </c>
      <c r="F4097" t="s">
        <v>12</v>
      </c>
      <c r="G4097" s="20">
        <v>1</v>
      </c>
      <c r="H4097" t="s">
        <v>4338</v>
      </c>
      <c r="I4097" t="s">
        <v>32</v>
      </c>
      <c r="J4097" s="9"/>
      <c r="K4097" s="9"/>
      <c r="L4097" s="9"/>
    </row>
    <row r="4098" spans="2:12" ht="15" x14ac:dyDescent="0.25">
      <c r="B4098" t="s">
        <v>3400</v>
      </c>
      <c r="C4098" t="s">
        <v>3401</v>
      </c>
      <c r="D4098" t="str">
        <f>HYPERLINK("https://rhld.insurance.arkansas.gov/NPILookup?Npi=1487223699","1487223699")</f>
        <v>1487223699</v>
      </c>
      <c r="E4098" t="s">
        <v>2736</v>
      </c>
      <c r="F4098" t="s">
        <v>13</v>
      </c>
      <c r="G4098" s="20">
        <v>1</v>
      </c>
      <c r="H4098" t="s">
        <v>4357</v>
      </c>
      <c r="I4098" t="s">
        <v>4357</v>
      </c>
      <c r="J4098" s="9"/>
      <c r="K4098" s="9"/>
      <c r="L4098" s="9"/>
    </row>
    <row r="4099" spans="2:12" ht="15" x14ac:dyDescent="0.25">
      <c r="B4099" t="s">
        <v>3400</v>
      </c>
      <c r="C4099" t="s">
        <v>3401</v>
      </c>
      <c r="D4099" t="str">
        <f>HYPERLINK("https://rhld.insurance.arkansas.gov/NPILookup?Npi=1487269080","1487269080")</f>
        <v>1487269080</v>
      </c>
      <c r="E4099" t="s">
        <v>1500</v>
      </c>
      <c r="F4099" t="s">
        <v>13</v>
      </c>
      <c r="G4099" s="20">
        <v>1</v>
      </c>
      <c r="H4099" t="s">
        <v>4357</v>
      </c>
      <c r="I4099" t="s">
        <v>4357</v>
      </c>
      <c r="J4099" s="9"/>
      <c r="K4099" s="9"/>
      <c r="L4099" s="9"/>
    </row>
    <row r="4100" spans="2:12" ht="15" x14ac:dyDescent="0.25">
      <c r="B4100" t="s">
        <v>3400</v>
      </c>
      <c r="C4100" t="s">
        <v>3401</v>
      </c>
      <c r="D4100" t="str">
        <f>HYPERLINK("https://rhld.insurance.arkansas.gov/NPILookup?Npi=1487271201","1487271201")</f>
        <v>1487271201</v>
      </c>
      <c r="E4100" t="s">
        <v>2737</v>
      </c>
      <c r="F4100" t="s">
        <v>13</v>
      </c>
      <c r="G4100" s="20">
        <v>1</v>
      </c>
      <c r="H4100" t="s">
        <v>3403</v>
      </c>
      <c r="I4100" t="s">
        <v>4357</v>
      </c>
      <c r="J4100" s="9"/>
      <c r="K4100" s="9"/>
      <c r="L4100" s="9"/>
    </row>
    <row r="4101" spans="2:12" ht="15" x14ac:dyDescent="0.25">
      <c r="B4101" t="s">
        <v>3400</v>
      </c>
      <c r="C4101" t="s">
        <v>3401</v>
      </c>
      <c r="D4101" t="str">
        <f>HYPERLINK("https://rhld.insurance.arkansas.gov/NPILookup?Npi=1487282125","1487282125")</f>
        <v>1487282125</v>
      </c>
      <c r="E4101" t="s">
        <v>3766</v>
      </c>
      <c r="F4101" t="s">
        <v>13</v>
      </c>
      <c r="G4101" s="20">
        <v>1</v>
      </c>
      <c r="H4101" t="s">
        <v>3403</v>
      </c>
      <c r="I4101" t="s">
        <v>4357</v>
      </c>
      <c r="J4101" s="9"/>
      <c r="K4101" s="9"/>
      <c r="L4101" s="9"/>
    </row>
    <row r="4102" spans="2:12" ht="15" x14ac:dyDescent="0.25">
      <c r="B4102" t="s">
        <v>3400</v>
      </c>
      <c r="C4102" t="s">
        <v>3401</v>
      </c>
      <c r="D4102" t="str">
        <f>HYPERLINK("https://rhld.insurance.arkansas.gov/NPILookup?Npi=1487367694","1487367694")</f>
        <v>1487367694</v>
      </c>
      <c r="E4102" t="s">
        <v>3767</v>
      </c>
      <c r="F4102" t="s">
        <v>13</v>
      </c>
      <c r="G4102" s="20">
        <v>1</v>
      </c>
      <c r="H4102" t="s">
        <v>3403</v>
      </c>
      <c r="I4102" t="s">
        <v>4357</v>
      </c>
      <c r="J4102" s="9"/>
      <c r="K4102" s="9"/>
      <c r="L4102" s="9"/>
    </row>
    <row r="4103" spans="2:12" ht="15" x14ac:dyDescent="0.25">
      <c r="B4103" t="s">
        <v>3400</v>
      </c>
      <c r="C4103" t="s">
        <v>3401</v>
      </c>
      <c r="D4103" t="str">
        <f>HYPERLINK("https://rhld.insurance.arkansas.gov/NPILookup?Npi=1487391306","1487391306")</f>
        <v>1487391306</v>
      </c>
      <c r="E4103" t="s">
        <v>2741</v>
      </c>
      <c r="F4103" t="s">
        <v>13</v>
      </c>
      <c r="G4103" s="20">
        <v>1</v>
      </c>
      <c r="H4103" t="s">
        <v>4357</v>
      </c>
      <c r="I4103" t="s">
        <v>4357</v>
      </c>
      <c r="J4103" s="9"/>
      <c r="K4103" s="9"/>
      <c r="L4103" s="9"/>
    </row>
    <row r="4104" spans="2:12" ht="15" x14ac:dyDescent="0.25">
      <c r="B4104" t="s">
        <v>3400</v>
      </c>
      <c r="C4104" t="s">
        <v>3401</v>
      </c>
      <c r="D4104" t="str">
        <f>HYPERLINK("https://rhld.insurance.arkansas.gov/NPILookup?Npi=1487602470","1487602470")</f>
        <v>1487602470</v>
      </c>
      <c r="E4104" t="s">
        <v>3768</v>
      </c>
      <c r="F4104" t="s">
        <v>13</v>
      </c>
      <c r="G4104" s="20">
        <v>1</v>
      </c>
      <c r="H4104" t="s">
        <v>3403</v>
      </c>
      <c r="I4104" t="s">
        <v>32</v>
      </c>
      <c r="J4104" s="9"/>
      <c r="K4104" s="9"/>
      <c r="L4104" s="9"/>
    </row>
    <row r="4105" spans="2:12" ht="15" x14ac:dyDescent="0.25">
      <c r="B4105" t="s">
        <v>3400</v>
      </c>
      <c r="C4105" t="s">
        <v>3401</v>
      </c>
      <c r="D4105" t="str">
        <f>HYPERLINK("https://rhld.insurance.arkansas.gov/NPILookup?Npi=1487624896","1487624896")</f>
        <v>1487624896</v>
      </c>
      <c r="E4105" t="s">
        <v>3769</v>
      </c>
      <c r="F4105" t="s">
        <v>13</v>
      </c>
      <c r="G4105" s="20">
        <v>1</v>
      </c>
      <c r="H4105" t="s">
        <v>3403</v>
      </c>
      <c r="I4105" t="s">
        <v>32</v>
      </c>
      <c r="J4105" s="9"/>
      <c r="K4105" s="9"/>
      <c r="L4105" s="9"/>
    </row>
    <row r="4106" spans="2:12" ht="15" x14ac:dyDescent="0.25">
      <c r="B4106" t="s">
        <v>3400</v>
      </c>
      <c r="C4106" t="s">
        <v>3401</v>
      </c>
      <c r="D4106" t="str">
        <f>HYPERLINK("https://rhld.insurance.arkansas.gov/NPILookup?Npi=1487651931","1487651931")</f>
        <v>1487651931</v>
      </c>
      <c r="E4106" t="s">
        <v>2742</v>
      </c>
      <c r="F4106" t="s">
        <v>13</v>
      </c>
      <c r="G4106" s="20">
        <v>1</v>
      </c>
      <c r="H4106" t="s">
        <v>3403</v>
      </c>
      <c r="I4106" t="s">
        <v>4357</v>
      </c>
      <c r="J4106" s="9"/>
      <c r="K4106" s="9"/>
      <c r="L4106" s="9"/>
    </row>
    <row r="4107" spans="2:12" ht="15" x14ac:dyDescent="0.25">
      <c r="B4107" t="s">
        <v>3400</v>
      </c>
      <c r="C4107" t="s">
        <v>3401</v>
      </c>
      <c r="D4107" t="str">
        <f>HYPERLINK("https://rhld.insurance.arkansas.gov/NPILookup?Npi=1487744041","1487744041")</f>
        <v>1487744041</v>
      </c>
      <c r="E4107" t="s">
        <v>3770</v>
      </c>
      <c r="F4107" t="s">
        <v>12</v>
      </c>
      <c r="G4107" s="20">
        <v>1</v>
      </c>
      <c r="H4107" t="s">
        <v>4338</v>
      </c>
      <c r="I4107" t="s">
        <v>32</v>
      </c>
      <c r="J4107" s="9"/>
      <c r="K4107" s="9"/>
      <c r="L4107" s="9"/>
    </row>
    <row r="4108" spans="2:12" ht="15" x14ac:dyDescent="0.25">
      <c r="B4108" t="s">
        <v>3400</v>
      </c>
      <c r="C4108" t="s">
        <v>3401</v>
      </c>
      <c r="D4108" t="str">
        <f>HYPERLINK("https://rhld.insurance.arkansas.gov/NPILookup?Npi=1487903936","1487903936")</f>
        <v>1487903936</v>
      </c>
      <c r="E4108" t="s">
        <v>2748</v>
      </c>
      <c r="F4108" t="s">
        <v>13</v>
      </c>
      <c r="G4108" s="20">
        <v>1</v>
      </c>
      <c r="H4108" t="s">
        <v>3403</v>
      </c>
      <c r="I4108" t="s">
        <v>4357</v>
      </c>
      <c r="J4108" s="9"/>
      <c r="K4108" s="9"/>
      <c r="L4108" s="9"/>
    </row>
    <row r="4109" spans="2:12" ht="15" x14ac:dyDescent="0.25">
      <c r="B4109" t="s">
        <v>3400</v>
      </c>
      <c r="C4109" t="s">
        <v>3401</v>
      </c>
      <c r="D4109" t="str">
        <f>HYPERLINK("https://rhld.insurance.arkansas.gov/NPILookup?Npi=1497040299","1497040299")</f>
        <v>1497040299</v>
      </c>
      <c r="E4109" t="s">
        <v>3771</v>
      </c>
      <c r="F4109" t="s">
        <v>12</v>
      </c>
      <c r="G4109" s="20">
        <v>1</v>
      </c>
      <c r="H4109" t="s">
        <v>4338</v>
      </c>
      <c r="I4109" t="s">
        <v>4357</v>
      </c>
      <c r="J4109" s="9"/>
      <c r="K4109" s="9"/>
      <c r="L4109" s="9"/>
    </row>
    <row r="4110" spans="2:12" ht="15" x14ac:dyDescent="0.25">
      <c r="B4110" t="s">
        <v>3400</v>
      </c>
      <c r="C4110" t="s">
        <v>3401</v>
      </c>
      <c r="D4110" t="str">
        <f>HYPERLINK("https://rhld.insurance.arkansas.gov/NPILookup?Npi=1497144901","1497144901")</f>
        <v>1497144901</v>
      </c>
      <c r="E4110" t="s">
        <v>2753</v>
      </c>
      <c r="F4110" t="s">
        <v>13</v>
      </c>
      <c r="G4110" s="20">
        <v>1</v>
      </c>
      <c r="H4110" t="s">
        <v>4357</v>
      </c>
      <c r="I4110" t="s">
        <v>4357</v>
      </c>
      <c r="J4110" s="9"/>
      <c r="K4110" s="9"/>
      <c r="L4110" s="9"/>
    </row>
    <row r="4111" spans="2:12" ht="15" x14ac:dyDescent="0.25">
      <c r="B4111" t="s">
        <v>3400</v>
      </c>
      <c r="C4111" t="s">
        <v>3401</v>
      </c>
      <c r="D4111" t="str">
        <f>HYPERLINK("https://rhld.insurance.arkansas.gov/NPILookup?Npi=1497198865","1497198865")</f>
        <v>1497198865</v>
      </c>
      <c r="E4111" t="s">
        <v>2755</v>
      </c>
      <c r="F4111" t="s">
        <v>12</v>
      </c>
      <c r="G4111" s="20">
        <v>1</v>
      </c>
      <c r="H4111" t="s">
        <v>4338</v>
      </c>
      <c r="I4111" t="s">
        <v>4357</v>
      </c>
      <c r="J4111" s="9"/>
      <c r="K4111" s="9"/>
      <c r="L4111" s="9"/>
    </row>
    <row r="4112" spans="2:12" ht="15" x14ac:dyDescent="0.25">
      <c r="B4112" t="s">
        <v>3400</v>
      </c>
      <c r="C4112" t="s">
        <v>3401</v>
      </c>
      <c r="D4112" t="str">
        <f>HYPERLINK("https://rhld.insurance.arkansas.gov/NPILookup?Npi=1497218721","1497218721")</f>
        <v>1497218721</v>
      </c>
      <c r="E4112" t="s">
        <v>3772</v>
      </c>
      <c r="F4112" t="s">
        <v>13</v>
      </c>
      <c r="G4112" s="20">
        <v>1</v>
      </c>
      <c r="H4112" t="s">
        <v>3403</v>
      </c>
      <c r="I4112" t="s">
        <v>32</v>
      </c>
      <c r="J4112" s="9"/>
      <c r="K4112" s="9"/>
      <c r="L4112" s="9"/>
    </row>
    <row r="4113" spans="2:12" ht="15" x14ac:dyDescent="0.25">
      <c r="B4113" t="s">
        <v>3400</v>
      </c>
      <c r="C4113" t="s">
        <v>3401</v>
      </c>
      <c r="D4113" t="str">
        <f>HYPERLINK("https://rhld.insurance.arkansas.gov/NPILookup?Npi=1497284475","1497284475")</f>
        <v>1497284475</v>
      </c>
      <c r="E4113" t="s">
        <v>2757</v>
      </c>
      <c r="F4113" t="s">
        <v>13</v>
      </c>
      <c r="G4113" s="20">
        <v>1</v>
      </c>
      <c r="H4113" t="s">
        <v>3403</v>
      </c>
      <c r="I4113" t="s">
        <v>4357</v>
      </c>
      <c r="J4113" s="9"/>
      <c r="K4113" s="9"/>
      <c r="L4113" s="9"/>
    </row>
    <row r="4114" spans="2:12" ht="15" x14ac:dyDescent="0.25">
      <c r="B4114" t="s">
        <v>3400</v>
      </c>
      <c r="C4114" t="s">
        <v>3401</v>
      </c>
      <c r="D4114" t="str">
        <f>HYPERLINK("https://rhld.insurance.arkansas.gov/NPILookup?Npi=1497315527","1497315527")</f>
        <v>1497315527</v>
      </c>
      <c r="E4114" t="s">
        <v>3773</v>
      </c>
      <c r="F4114" t="s">
        <v>13</v>
      </c>
      <c r="G4114" s="20">
        <v>1</v>
      </c>
      <c r="H4114" t="s">
        <v>3403</v>
      </c>
      <c r="I4114" t="s">
        <v>4357</v>
      </c>
      <c r="J4114" s="9"/>
      <c r="K4114" s="9"/>
      <c r="L4114" s="9"/>
    </row>
    <row r="4115" spans="2:12" ht="15" x14ac:dyDescent="0.25">
      <c r="B4115" t="s">
        <v>3400</v>
      </c>
      <c r="C4115" t="s">
        <v>3401</v>
      </c>
      <c r="D4115" t="str">
        <f>HYPERLINK("https://rhld.insurance.arkansas.gov/NPILookup?Npi=1497325997","1497325997")</f>
        <v>1497325997</v>
      </c>
      <c r="E4115" t="s">
        <v>3774</v>
      </c>
      <c r="F4115" t="s">
        <v>13</v>
      </c>
      <c r="G4115" s="20">
        <v>1</v>
      </c>
      <c r="H4115" t="s">
        <v>3403</v>
      </c>
      <c r="I4115" t="s">
        <v>32</v>
      </c>
      <c r="J4115" s="9"/>
      <c r="K4115" s="9"/>
      <c r="L4115" s="9"/>
    </row>
    <row r="4116" spans="2:12" ht="15" x14ac:dyDescent="0.25">
      <c r="B4116" t="s">
        <v>3400</v>
      </c>
      <c r="C4116" t="s">
        <v>3401</v>
      </c>
      <c r="D4116" t="str">
        <f>HYPERLINK("https://rhld.insurance.arkansas.gov/NPILookup?Npi=1497332696","1497332696")</f>
        <v>1497332696</v>
      </c>
      <c r="E4116" t="s">
        <v>3775</v>
      </c>
      <c r="F4116" t="s">
        <v>13</v>
      </c>
      <c r="G4116" s="20">
        <v>1</v>
      </c>
      <c r="H4116" t="s">
        <v>3403</v>
      </c>
      <c r="I4116" t="s">
        <v>32</v>
      </c>
      <c r="J4116" s="9"/>
      <c r="K4116" s="9"/>
      <c r="L4116" s="9"/>
    </row>
    <row r="4117" spans="2:12" ht="15" x14ac:dyDescent="0.25">
      <c r="B4117" t="s">
        <v>3400</v>
      </c>
      <c r="C4117" t="s">
        <v>3401</v>
      </c>
      <c r="D4117" t="str">
        <f>HYPERLINK("https://rhld.insurance.arkansas.gov/NPILookup?Npi=1497337919","1497337919")</f>
        <v>1497337919</v>
      </c>
      <c r="E4117" t="s">
        <v>3776</v>
      </c>
      <c r="F4117" t="s">
        <v>13</v>
      </c>
      <c r="G4117" s="20">
        <v>1</v>
      </c>
      <c r="H4117" t="s">
        <v>4357</v>
      </c>
      <c r="I4117" t="s">
        <v>4357</v>
      </c>
      <c r="J4117" s="9"/>
      <c r="K4117" s="9"/>
      <c r="L4117" s="9"/>
    </row>
    <row r="4118" spans="2:12" ht="15" x14ac:dyDescent="0.25">
      <c r="B4118" t="s">
        <v>3400</v>
      </c>
      <c r="C4118" t="s">
        <v>3401</v>
      </c>
      <c r="D4118" t="str">
        <f>HYPERLINK("https://rhld.insurance.arkansas.gov/NPILookup?Npi=1497493290","1497493290")</f>
        <v>1497493290</v>
      </c>
      <c r="E4118" t="s">
        <v>2765</v>
      </c>
      <c r="F4118" t="s">
        <v>13</v>
      </c>
      <c r="G4118" s="20">
        <v>1</v>
      </c>
      <c r="H4118" t="s">
        <v>4357</v>
      </c>
      <c r="I4118" t="s">
        <v>4357</v>
      </c>
      <c r="J4118" s="9"/>
      <c r="K4118" s="9"/>
      <c r="L4118" s="9"/>
    </row>
    <row r="4119" spans="2:12" ht="15" x14ac:dyDescent="0.25">
      <c r="B4119" t="s">
        <v>3400</v>
      </c>
      <c r="C4119" t="s">
        <v>3401</v>
      </c>
      <c r="D4119" t="str">
        <f>HYPERLINK("https://rhld.insurance.arkansas.gov/NPILookup?Npi=1497562326","1497562326")</f>
        <v>1497562326</v>
      </c>
      <c r="E4119" t="s">
        <v>2766</v>
      </c>
      <c r="F4119" t="s">
        <v>13</v>
      </c>
      <c r="G4119" s="20">
        <v>1</v>
      </c>
      <c r="H4119" t="s">
        <v>4357</v>
      </c>
      <c r="I4119" t="s">
        <v>4357</v>
      </c>
      <c r="J4119" s="9"/>
      <c r="K4119" s="9"/>
      <c r="L4119" s="9"/>
    </row>
    <row r="4120" spans="2:12" ht="15" x14ac:dyDescent="0.25">
      <c r="B4120" t="s">
        <v>3400</v>
      </c>
      <c r="C4120" t="s">
        <v>3401</v>
      </c>
      <c r="D4120" t="str">
        <f>HYPERLINK("https://rhld.insurance.arkansas.gov/NPILookup?Npi=1497564538","1497564538")</f>
        <v>1497564538</v>
      </c>
      <c r="E4120" t="s">
        <v>2767</v>
      </c>
      <c r="F4120" t="s">
        <v>13</v>
      </c>
      <c r="G4120" s="20">
        <v>1</v>
      </c>
      <c r="H4120" t="s">
        <v>4357</v>
      </c>
      <c r="I4120" t="s">
        <v>4357</v>
      </c>
      <c r="J4120" s="9"/>
      <c r="K4120" s="9"/>
      <c r="L4120" s="9"/>
    </row>
    <row r="4121" spans="2:12" ht="15" x14ac:dyDescent="0.25">
      <c r="B4121" t="s">
        <v>3400</v>
      </c>
      <c r="C4121" t="s">
        <v>3401</v>
      </c>
      <c r="D4121" t="str">
        <f>HYPERLINK("https://rhld.insurance.arkansas.gov/NPILookup?Npi=1497701130","1497701130")</f>
        <v>1497701130</v>
      </c>
      <c r="E4121" t="s">
        <v>2768</v>
      </c>
      <c r="F4121" t="s">
        <v>13</v>
      </c>
      <c r="G4121" s="20">
        <v>1</v>
      </c>
      <c r="H4121" t="s">
        <v>3403</v>
      </c>
      <c r="I4121" t="s">
        <v>4357</v>
      </c>
      <c r="J4121" s="9"/>
      <c r="K4121" s="9"/>
      <c r="L4121" s="9"/>
    </row>
    <row r="4122" spans="2:12" ht="15" x14ac:dyDescent="0.25">
      <c r="B4122" t="s">
        <v>3400</v>
      </c>
      <c r="C4122" t="s">
        <v>3401</v>
      </c>
      <c r="D4122" t="str">
        <f>HYPERLINK("https://rhld.insurance.arkansas.gov/NPILookup?Npi=1497702823","1497702823")</f>
        <v>1497702823</v>
      </c>
      <c r="E4122" t="s">
        <v>3777</v>
      </c>
      <c r="F4122" t="s">
        <v>13</v>
      </c>
      <c r="G4122" s="20">
        <v>1</v>
      </c>
      <c r="H4122" t="s">
        <v>3403</v>
      </c>
      <c r="I4122" t="s">
        <v>32</v>
      </c>
      <c r="J4122" s="9"/>
      <c r="K4122" s="9"/>
      <c r="L4122" s="9"/>
    </row>
    <row r="4123" spans="2:12" ht="15" x14ac:dyDescent="0.25">
      <c r="B4123" t="s">
        <v>3400</v>
      </c>
      <c r="C4123" t="s">
        <v>3401</v>
      </c>
      <c r="D4123" t="str">
        <f>HYPERLINK("https://rhld.insurance.arkansas.gov/NPILookup?Npi=1497712368","1497712368")</f>
        <v>1497712368</v>
      </c>
      <c r="E4123" t="s">
        <v>3778</v>
      </c>
      <c r="F4123" t="s">
        <v>12</v>
      </c>
      <c r="G4123" s="20">
        <v>1</v>
      </c>
      <c r="H4123" t="s">
        <v>4338</v>
      </c>
      <c r="I4123" t="s">
        <v>4357</v>
      </c>
      <c r="J4123" s="9"/>
      <c r="K4123" s="9"/>
      <c r="L4123" s="9"/>
    </row>
    <row r="4124" spans="2:12" ht="15" x14ac:dyDescent="0.25">
      <c r="B4124" t="s">
        <v>3400</v>
      </c>
      <c r="C4124" t="s">
        <v>3401</v>
      </c>
      <c r="D4124" t="str">
        <f>HYPERLINK("https://rhld.insurance.arkansas.gov/NPILookup?Npi=1497735609","1497735609")</f>
        <v>1497735609</v>
      </c>
      <c r="E4124" t="s">
        <v>3779</v>
      </c>
      <c r="F4124" t="s">
        <v>13</v>
      </c>
      <c r="G4124" s="20">
        <v>1</v>
      </c>
      <c r="H4124" t="s">
        <v>3403</v>
      </c>
      <c r="I4124" t="s">
        <v>32</v>
      </c>
      <c r="J4124" s="9"/>
      <c r="K4124" s="9"/>
      <c r="L4124" s="9"/>
    </row>
    <row r="4125" spans="2:12" ht="15" x14ac:dyDescent="0.25">
      <c r="B4125" t="s">
        <v>3400</v>
      </c>
      <c r="C4125" t="s">
        <v>3401</v>
      </c>
      <c r="D4125" t="str">
        <f>HYPERLINK("https://rhld.insurance.arkansas.gov/NPILookup?Npi=1497747646","1497747646")</f>
        <v>1497747646</v>
      </c>
      <c r="E4125" t="s">
        <v>3780</v>
      </c>
      <c r="F4125" t="s">
        <v>13</v>
      </c>
      <c r="G4125" s="20">
        <v>1</v>
      </c>
      <c r="H4125" t="s">
        <v>3403</v>
      </c>
      <c r="I4125" t="s">
        <v>32</v>
      </c>
      <c r="J4125" s="9"/>
      <c r="K4125" s="9"/>
      <c r="L4125" s="9"/>
    </row>
    <row r="4126" spans="2:12" ht="15" x14ac:dyDescent="0.25">
      <c r="B4126" t="s">
        <v>3400</v>
      </c>
      <c r="C4126" t="s">
        <v>3401</v>
      </c>
      <c r="D4126" t="str">
        <f>HYPERLINK("https://rhld.insurance.arkansas.gov/NPILookup?Npi=1497781298","1497781298")</f>
        <v>1497781298</v>
      </c>
      <c r="E4126" t="s">
        <v>650</v>
      </c>
      <c r="F4126" t="s">
        <v>13</v>
      </c>
      <c r="G4126" s="20">
        <v>1</v>
      </c>
      <c r="H4126" t="s">
        <v>3403</v>
      </c>
      <c r="I4126" t="s">
        <v>4357</v>
      </c>
      <c r="J4126" s="9"/>
      <c r="K4126" s="9"/>
      <c r="L4126" s="9"/>
    </row>
    <row r="4127" spans="2:12" ht="15" x14ac:dyDescent="0.25">
      <c r="B4127" t="s">
        <v>3400</v>
      </c>
      <c r="C4127" t="s">
        <v>3401</v>
      </c>
      <c r="D4127" t="str">
        <f>HYPERLINK("https://rhld.insurance.arkansas.gov/NPILookup?Npi=1497863161","1497863161")</f>
        <v>1497863161</v>
      </c>
      <c r="E4127" t="s">
        <v>2769</v>
      </c>
      <c r="F4127" t="s">
        <v>13</v>
      </c>
      <c r="G4127" s="20">
        <v>1</v>
      </c>
      <c r="H4127" t="s">
        <v>3403</v>
      </c>
      <c r="I4127" t="s">
        <v>4357</v>
      </c>
      <c r="J4127" s="9"/>
      <c r="K4127" s="9"/>
      <c r="L4127" s="9"/>
    </row>
    <row r="4128" spans="2:12" ht="15" x14ac:dyDescent="0.25">
      <c r="B4128" t="s">
        <v>3400</v>
      </c>
      <c r="C4128" t="s">
        <v>3401</v>
      </c>
      <c r="D4128" t="str">
        <f>HYPERLINK("https://rhld.insurance.arkansas.gov/NPILookup?Npi=1497896096","1497896096")</f>
        <v>1497896096</v>
      </c>
      <c r="E4128" t="s">
        <v>3781</v>
      </c>
      <c r="F4128" t="s">
        <v>12</v>
      </c>
      <c r="G4128" s="20">
        <v>1</v>
      </c>
      <c r="H4128" t="s">
        <v>4338</v>
      </c>
      <c r="I4128" t="s">
        <v>32</v>
      </c>
      <c r="J4128" s="9"/>
      <c r="K4128" s="9"/>
      <c r="L4128" s="9"/>
    </row>
    <row r="4129" spans="2:12" ht="15" x14ac:dyDescent="0.25">
      <c r="B4129" t="s">
        <v>3400</v>
      </c>
      <c r="C4129" t="s">
        <v>3401</v>
      </c>
      <c r="D4129" t="str">
        <f>HYPERLINK("https://rhld.insurance.arkansas.gov/NPILookup?Npi=1497923445","1497923445")</f>
        <v>1497923445</v>
      </c>
      <c r="E4129" t="s">
        <v>3782</v>
      </c>
      <c r="F4129" t="s">
        <v>13</v>
      </c>
      <c r="G4129" s="20">
        <v>1</v>
      </c>
      <c r="H4129" t="s">
        <v>3403</v>
      </c>
      <c r="I4129" t="s">
        <v>32</v>
      </c>
      <c r="J4129" s="9"/>
      <c r="K4129" s="9"/>
      <c r="L4129" s="9"/>
    </row>
    <row r="4130" spans="2:12" ht="15" x14ac:dyDescent="0.25">
      <c r="B4130" t="s">
        <v>3400</v>
      </c>
      <c r="C4130" t="s">
        <v>3401</v>
      </c>
      <c r="D4130" t="str">
        <f>HYPERLINK("https://rhld.insurance.arkansas.gov/NPILookup?Npi=1508152836","1508152836")</f>
        <v>1508152836</v>
      </c>
      <c r="E4130" t="s">
        <v>3783</v>
      </c>
      <c r="F4130" t="s">
        <v>13</v>
      </c>
      <c r="G4130" s="20">
        <v>1</v>
      </c>
      <c r="H4130" t="s">
        <v>3403</v>
      </c>
      <c r="I4130" t="s">
        <v>4357</v>
      </c>
      <c r="J4130" s="9"/>
      <c r="K4130" s="9"/>
      <c r="L4130" s="9"/>
    </row>
    <row r="4131" spans="2:12" ht="15" x14ac:dyDescent="0.25">
      <c r="B4131" t="s">
        <v>3400</v>
      </c>
      <c r="C4131" t="s">
        <v>3401</v>
      </c>
      <c r="D4131" t="str">
        <f>HYPERLINK("https://rhld.insurance.arkansas.gov/NPILookup?Npi=1508287590","1508287590")</f>
        <v>1508287590</v>
      </c>
      <c r="E4131" t="s">
        <v>3784</v>
      </c>
      <c r="F4131" t="s">
        <v>13</v>
      </c>
      <c r="G4131" s="20">
        <v>1</v>
      </c>
      <c r="H4131" t="s">
        <v>3403</v>
      </c>
      <c r="I4131" t="s">
        <v>4357</v>
      </c>
      <c r="J4131" s="9"/>
      <c r="K4131" s="9"/>
      <c r="L4131" s="9"/>
    </row>
    <row r="4132" spans="2:12" ht="15" x14ac:dyDescent="0.25">
      <c r="B4132" t="s">
        <v>3400</v>
      </c>
      <c r="C4132" t="s">
        <v>3401</v>
      </c>
      <c r="D4132" t="str">
        <f>HYPERLINK("https://rhld.insurance.arkansas.gov/NPILookup?Npi=1508328253","1508328253")</f>
        <v>1508328253</v>
      </c>
      <c r="E4132" t="s">
        <v>3785</v>
      </c>
      <c r="F4132" t="s">
        <v>13</v>
      </c>
      <c r="G4132" s="20">
        <v>1</v>
      </c>
      <c r="H4132" t="s">
        <v>3403</v>
      </c>
      <c r="I4132" t="s">
        <v>32</v>
      </c>
      <c r="J4132" s="9"/>
      <c r="K4132" s="9"/>
      <c r="L4132" s="9"/>
    </row>
    <row r="4133" spans="2:12" ht="15" x14ac:dyDescent="0.25">
      <c r="B4133" t="s">
        <v>3400</v>
      </c>
      <c r="C4133" t="s">
        <v>3401</v>
      </c>
      <c r="D4133" t="str">
        <f>HYPERLINK("https://rhld.insurance.arkansas.gov/NPILookup?Npi=1508377094","1508377094")</f>
        <v>1508377094</v>
      </c>
      <c r="E4133" t="s">
        <v>2774</v>
      </c>
      <c r="F4133" t="s">
        <v>13</v>
      </c>
      <c r="G4133" s="20">
        <v>1</v>
      </c>
      <c r="H4133" t="s">
        <v>4357</v>
      </c>
      <c r="I4133" t="s">
        <v>4357</v>
      </c>
      <c r="J4133" s="9"/>
      <c r="K4133" s="9"/>
      <c r="L4133" s="9"/>
    </row>
    <row r="4134" spans="2:12" ht="15" x14ac:dyDescent="0.25">
      <c r="B4134" t="s">
        <v>3400</v>
      </c>
      <c r="C4134" t="s">
        <v>3401</v>
      </c>
      <c r="D4134" t="str">
        <f>HYPERLINK("https://rhld.insurance.arkansas.gov/NPILookup?Npi=1508470865","1508470865")</f>
        <v>1508470865</v>
      </c>
      <c r="E4134" t="s">
        <v>2776</v>
      </c>
      <c r="F4134" t="s">
        <v>13</v>
      </c>
      <c r="G4134" s="20">
        <v>1</v>
      </c>
      <c r="H4134" t="s">
        <v>3403</v>
      </c>
      <c r="I4134" t="s">
        <v>4357</v>
      </c>
      <c r="J4134" s="9"/>
      <c r="K4134" s="9"/>
      <c r="L4134" s="9"/>
    </row>
    <row r="4135" spans="2:12" ht="15" x14ac:dyDescent="0.25">
      <c r="B4135" t="s">
        <v>3400</v>
      </c>
      <c r="C4135" t="s">
        <v>3401</v>
      </c>
      <c r="D4135" t="str">
        <f>HYPERLINK("https://rhld.insurance.arkansas.gov/NPILookup?Npi=1508477563","1508477563")</f>
        <v>1508477563</v>
      </c>
      <c r="E4135" t="s">
        <v>1134</v>
      </c>
      <c r="F4135" t="s">
        <v>13</v>
      </c>
      <c r="G4135" s="20">
        <v>1</v>
      </c>
      <c r="H4135" t="s">
        <v>4357</v>
      </c>
      <c r="I4135" t="s">
        <v>4357</v>
      </c>
      <c r="J4135" s="9"/>
      <c r="K4135" s="9"/>
      <c r="L4135" s="9"/>
    </row>
    <row r="4136" spans="2:12" ht="15" x14ac:dyDescent="0.25">
      <c r="B4136" t="s">
        <v>3400</v>
      </c>
      <c r="C4136" t="s">
        <v>3401</v>
      </c>
      <c r="D4136" t="str">
        <f>HYPERLINK("https://rhld.insurance.arkansas.gov/NPILookup?Npi=1508547787","1508547787")</f>
        <v>1508547787</v>
      </c>
      <c r="E4136" t="s">
        <v>2780</v>
      </c>
      <c r="F4136" t="s">
        <v>13</v>
      </c>
      <c r="G4136" s="20">
        <v>1</v>
      </c>
      <c r="H4136" t="s">
        <v>4357</v>
      </c>
      <c r="I4136" t="s">
        <v>4357</v>
      </c>
      <c r="J4136" s="9"/>
      <c r="K4136" s="9"/>
      <c r="L4136" s="9"/>
    </row>
    <row r="4137" spans="2:12" ht="15" x14ac:dyDescent="0.25">
      <c r="B4137" t="s">
        <v>3400</v>
      </c>
      <c r="C4137" t="s">
        <v>3401</v>
      </c>
      <c r="D4137" t="str">
        <f>HYPERLINK("https://rhld.insurance.arkansas.gov/NPILookup?Npi=1508564386","1508564386")</f>
        <v>1508564386</v>
      </c>
      <c r="E4137" t="s">
        <v>2077</v>
      </c>
      <c r="F4137" t="s">
        <v>13</v>
      </c>
      <c r="G4137" s="20">
        <v>1</v>
      </c>
      <c r="H4137" t="s">
        <v>4357</v>
      </c>
      <c r="I4137" t="s">
        <v>4357</v>
      </c>
      <c r="J4137" s="9"/>
      <c r="K4137" s="9"/>
      <c r="L4137" s="9"/>
    </row>
    <row r="4138" spans="2:12" ht="15" x14ac:dyDescent="0.25">
      <c r="B4138" t="s">
        <v>3400</v>
      </c>
      <c r="C4138" t="s">
        <v>3401</v>
      </c>
      <c r="D4138" t="str">
        <f>HYPERLINK("https://rhld.insurance.arkansas.gov/NPILookup?Npi=1508599622","1508599622")</f>
        <v>1508599622</v>
      </c>
      <c r="E4138" t="s">
        <v>2078</v>
      </c>
      <c r="F4138" t="s">
        <v>13</v>
      </c>
      <c r="G4138" s="20">
        <v>1</v>
      </c>
      <c r="H4138" t="s">
        <v>4357</v>
      </c>
      <c r="I4138" t="s">
        <v>4357</v>
      </c>
      <c r="J4138" s="9"/>
      <c r="K4138" s="9"/>
      <c r="L4138" s="9"/>
    </row>
    <row r="4139" spans="2:12" ht="15" x14ac:dyDescent="0.25">
      <c r="B4139" t="s">
        <v>3400</v>
      </c>
      <c r="C4139" t="s">
        <v>3401</v>
      </c>
      <c r="D4139" t="str">
        <f>HYPERLINK("https://rhld.insurance.arkansas.gov/NPILookup?Npi=1508617549","1508617549")</f>
        <v>1508617549</v>
      </c>
      <c r="E4139" t="s">
        <v>2079</v>
      </c>
      <c r="F4139" t="s">
        <v>13</v>
      </c>
      <c r="G4139" s="20">
        <v>1</v>
      </c>
      <c r="H4139" t="s">
        <v>4357</v>
      </c>
      <c r="I4139" t="s">
        <v>4357</v>
      </c>
      <c r="J4139" s="9"/>
      <c r="K4139" s="9"/>
      <c r="L4139" s="9"/>
    </row>
    <row r="4140" spans="2:12" ht="15" x14ac:dyDescent="0.25">
      <c r="B4140" t="s">
        <v>3400</v>
      </c>
      <c r="C4140" t="s">
        <v>3401</v>
      </c>
      <c r="D4140" t="str">
        <f>HYPERLINK("https://rhld.insurance.arkansas.gov/NPILookup?Npi=1508620097","1508620097")</f>
        <v>1508620097</v>
      </c>
      <c r="E4140" t="s">
        <v>3786</v>
      </c>
      <c r="F4140" t="s">
        <v>13</v>
      </c>
      <c r="G4140" s="20">
        <v>1</v>
      </c>
      <c r="H4140" t="s">
        <v>3403</v>
      </c>
      <c r="I4140" t="s">
        <v>32</v>
      </c>
      <c r="J4140" s="9"/>
      <c r="K4140" s="9"/>
      <c r="L4140" s="9"/>
    </row>
    <row r="4141" spans="2:12" ht="15" x14ac:dyDescent="0.25">
      <c r="B4141" t="s">
        <v>3400</v>
      </c>
      <c r="C4141" t="s">
        <v>3401</v>
      </c>
      <c r="D4141" t="str">
        <f>HYPERLINK("https://rhld.insurance.arkansas.gov/NPILookup?Npi=1508814617","1508814617")</f>
        <v>1508814617</v>
      </c>
      <c r="E4141" t="s">
        <v>656</v>
      </c>
      <c r="F4141" t="s">
        <v>12</v>
      </c>
      <c r="G4141" s="20">
        <v>1</v>
      </c>
      <c r="H4141" t="s">
        <v>4338</v>
      </c>
      <c r="I4141" t="s">
        <v>32</v>
      </c>
      <c r="J4141" s="9"/>
      <c r="K4141" s="9"/>
      <c r="L4141" s="9"/>
    </row>
    <row r="4142" spans="2:12" ht="15" x14ac:dyDescent="0.25">
      <c r="B4142" t="s">
        <v>3400</v>
      </c>
      <c r="C4142" t="s">
        <v>3401</v>
      </c>
      <c r="D4142" t="str">
        <f>HYPERLINK("https://rhld.insurance.arkansas.gov/NPILookup?Npi=1508827700","1508827700")</f>
        <v>1508827700</v>
      </c>
      <c r="E4142" t="s">
        <v>658</v>
      </c>
      <c r="F4142" t="s">
        <v>13</v>
      </c>
      <c r="G4142" s="20">
        <v>1</v>
      </c>
      <c r="H4142" t="s">
        <v>3403</v>
      </c>
      <c r="I4142" t="s">
        <v>32</v>
      </c>
      <c r="J4142" s="9"/>
      <c r="K4142" s="9"/>
      <c r="L4142" s="9"/>
    </row>
    <row r="4143" spans="2:12" ht="15" x14ac:dyDescent="0.25">
      <c r="B4143" t="s">
        <v>3400</v>
      </c>
      <c r="C4143" t="s">
        <v>3401</v>
      </c>
      <c r="D4143" t="str">
        <f>HYPERLINK("https://rhld.insurance.arkansas.gov/NPILookup?Npi=1508853466","1508853466")</f>
        <v>1508853466</v>
      </c>
      <c r="E4143" t="s">
        <v>3787</v>
      </c>
      <c r="F4143" t="s">
        <v>13</v>
      </c>
      <c r="G4143" s="20">
        <v>1</v>
      </c>
      <c r="H4143" t="s">
        <v>3403</v>
      </c>
      <c r="I4143" t="s">
        <v>32</v>
      </c>
      <c r="J4143" s="9"/>
      <c r="K4143" s="9"/>
      <c r="L4143" s="9"/>
    </row>
    <row r="4144" spans="2:12" ht="15" x14ac:dyDescent="0.25">
      <c r="B4144" t="s">
        <v>3400</v>
      </c>
      <c r="C4144" t="s">
        <v>3401</v>
      </c>
      <c r="D4144" t="str">
        <f>HYPERLINK("https://rhld.insurance.arkansas.gov/NPILookup?Npi=1518144534","1518144534")</f>
        <v>1518144534</v>
      </c>
      <c r="E4144" t="s">
        <v>3788</v>
      </c>
      <c r="F4144" t="s">
        <v>13</v>
      </c>
      <c r="G4144" s="20">
        <v>1</v>
      </c>
      <c r="H4144" t="s">
        <v>3403</v>
      </c>
      <c r="I4144" t="s">
        <v>4357</v>
      </c>
      <c r="J4144" s="9"/>
      <c r="K4144" s="9"/>
      <c r="L4144" s="9"/>
    </row>
    <row r="4145" spans="2:12" ht="15" x14ac:dyDescent="0.25">
      <c r="B4145" t="s">
        <v>3400</v>
      </c>
      <c r="C4145" t="s">
        <v>3401</v>
      </c>
      <c r="D4145" t="str">
        <f>HYPERLINK("https://rhld.insurance.arkansas.gov/NPILookup?Npi=1518181767","1518181767")</f>
        <v>1518181767</v>
      </c>
      <c r="E4145" t="s">
        <v>2783</v>
      </c>
      <c r="F4145" t="s">
        <v>12</v>
      </c>
      <c r="G4145" s="20">
        <v>1</v>
      </c>
      <c r="H4145" t="s">
        <v>4338</v>
      </c>
      <c r="I4145" t="s">
        <v>32</v>
      </c>
      <c r="J4145" s="9"/>
      <c r="K4145" s="9"/>
      <c r="L4145" s="9"/>
    </row>
    <row r="4146" spans="2:12" ht="15" x14ac:dyDescent="0.25">
      <c r="B4146" t="s">
        <v>3400</v>
      </c>
      <c r="C4146" t="s">
        <v>3401</v>
      </c>
      <c r="D4146" t="str">
        <f>HYPERLINK("https://rhld.insurance.arkansas.gov/NPILookup?Npi=1518270636","1518270636")</f>
        <v>1518270636</v>
      </c>
      <c r="E4146" t="s">
        <v>3789</v>
      </c>
      <c r="F4146" t="s">
        <v>13</v>
      </c>
      <c r="G4146" s="20">
        <v>1</v>
      </c>
      <c r="H4146" t="s">
        <v>3403</v>
      </c>
      <c r="I4146" t="s">
        <v>4357</v>
      </c>
      <c r="J4146" s="9"/>
      <c r="K4146" s="9"/>
      <c r="L4146" s="9"/>
    </row>
    <row r="4147" spans="2:12" ht="15" x14ac:dyDescent="0.25">
      <c r="B4147" t="s">
        <v>3400</v>
      </c>
      <c r="C4147" t="s">
        <v>3401</v>
      </c>
      <c r="D4147" t="str">
        <f>HYPERLINK("https://rhld.insurance.arkansas.gov/NPILookup?Npi=1518287226","1518287226")</f>
        <v>1518287226</v>
      </c>
      <c r="E4147" t="s">
        <v>2785</v>
      </c>
      <c r="F4147" t="s">
        <v>13</v>
      </c>
      <c r="G4147" s="20">
        <v>1</v>
      </c>
      <c r="H4147" t="s">
        <v>3403</v>
      </c>
      <c r="I4147" t="s">
        <v>4357</v>
      </c>
      <c r="J4147" s="9"/>
      <c r="K4147" s="9"/>
      <c r="L4147" s="9"/>
    </row>
    <row r="4148" spans="2:12" ht="15" x14ac:dyDescent="0.25">
      <c r="B4148" t="s">
        <v>3400</v>
      </c>
      <c r="C4148" t="s">
        <v>3401</v>
      </c>
      <c r="D4148" t="str">
        <f>HYPERLINK("https://rhld.insurance.arkansas.gov/NPILookup?Npi=1518321025","1518321025")</f>
        <v>1518321025</v>
      </c>
      <c r="E4148" t="s">
        <v>3790</v>
      </c>
      <c r="F4148" t="s">
        <v>12</v>
      </c>
      <c r="G4148" s="20">
        <v>1</v>
      </c>
      <c r="H4148" t="s">
        <v>139</v>
      </c>
      <c r="I4148" t="s">
        <v>4357</v>
      </c>
      <c r="J4148" s="9"/>
      <c r="K4148" s="9"/>
      <c r="L4148" s="9"/>
    </row>
    <row r="4149" spans="2:12" ht="15" x14ac:dyDescent="0.25">
      <c r="B4149" t="s">
        <v>3400</v>
      </c>
      <c r="C4149" t="s">
        <v>3401</v>
      </c>
      <c r="D4149" t="str">
        <f>HYPERLINK("https://rhld.insurance.arkansas.gov/NPILookup?Npi=1518352616","1518352616")</f>
        <v>1518352616</v>
      </c>
      <c r="E4149" t="s">
        <v>3791</v>
      </c>
      <c r="F4149" t="s">
        <v>13</v>
      </c>
      <c r="G4149" s="20">
        <v>1</v>
      </c>
      <c r="H4149" t="s">
        <v>3403</v>
      </c>
      <c r="I4149" t="s">
        <v>32</v>
      </c>
      <c r="J4149" s="9"/>
      <c r="K4149" s="9"/>
      <c r="L4149" s="9"/>
    </row>
    <row r="4150" spans="2:12" ht="15" x14ac:dyDescent="0.25">
      <c r="B4150" t="s">
        <v>3400</v>
      </c>
      <c r="C4150" t="s">
        <v>3401</v>
      </c>
      <c r="D4150" t="str">
        <f>HYPERLINK("https://rhld.insurance.arkansas.gov/NPILookup?Npi=1518505833","1518505833")</f>
        <v>1518505833</v>
      </c>
      <c r="E4150" t="s">
        <v>2794</v>
      </c>
      <c r="F4150" t="s">
        <v>13</v>
      </c>
      <c r="G4150" s="20">
        <v>1</v>
      </c>
      <c r="H4150" t="s">
        <v>4357</v>
      </c>
      <c r="I4150" t="s">
        <v>4357</v>
      </c>
      <c r="J4150" s="9"/>
      <c r="K4150" s="9"/>
      <c r="L4150" s="9"/>
    </row>
    <row r="4151" spans="2:12" ht="15" x14ac:dyDescent="0.25">
      <c r="B4151" t="s">
        <v>3400</v>
      </c>
      <c r="C4151" t="s">
        <v>3401</v>
      </c>
      <c r="D4151" t="str">
        <f>HYPERLINK("https://rhld.insurance.arkansas.gov/NPILookup?Npi=1518548189","1518548189")</f>
        <v>1518548189</v>
      </c>
      <c r="E4151" t="s">
        <v>2795</v>
      </c>
      <c r="F4151" t="s">
        <v>13</v>
      </c>
      <c r="G4151" s="20">
        <v>1</v>
      </c>
      <c r="H4151" t="s">
        <v>3403</v>
      </c>
      <c r="I4151" t="s">
        <v>4357</v>
      </c>
      <c r="J4151" s="9"/>
      <c r="K4151" s="9"/>
      <c r="L4151" s="9"/>
    </row>
    <row r="4152" spans="2:12" ht="15" x14ac:dyDescent="0.25">
      <c r="B4152" t="s">
        <v>3400</v>
      </c>
      <c r="C4152" t="s">
        <v>3401</v>
      </c>
      <c r="D4152" t="str">
        <f>HYPERLINK("https://rhld.insurance.arkansas.gov/NPILookup?Npi=1518583129","1518583129")</f>
        <v>1518583129</v>
      </c>
      <c r="E4152" t="s">
        <v>2796</v>
      </c>
      <c r="F4152" t="s">
        <v>13</v>
      </c>
      <c r="G4152" s="20">
        <v>1</v>
      </c>
      <c r="H4152" t="s">
        <v>3403</v>
      </c>
      <c r="I4152" t="s">
        <v>4357</v>
      </c>
      <c r="J4152" s="9"/>
      <c r="K4152" s="9"/>
      <c r="L4152" s="9"/>
    </row>
    <row r="4153" spans="2:12" ht="15" x14ac:dyDescent="0.25">
      <c r="B4153" t="s">
        <v>3400</v>
      </c>
      <c r="C4153" t="s">
        <v>3401</v>
      </c>
      <c r="D4153" t="str">
        <f>HYPERLINK("https://rhld.insurance.arkansas.gov/NPILookup?Npi=1518668581","1518668581")</f>
        <v>1518668581</v>
      </c>
      <c r="E4153" t="s">
        <v>3792</v>
      </c>
      <c r="F4153" t="s">
        <v>13</v>
      </c>
      <c r="G4153" s="20">
        <v>1</v>
      </c>
      <c r="H4153" t="s">
        <v>3403</v>
      </c>
      <c r="I4153" t="s">
        <v>32</v>
      </c>
      <c r="J4153" s="9"/>
      <c r="K4153" s="9"/>
      <c r="L4153" s="9"/>
    </row>
    <row r="4154" spans="2:12" ht="15" x14ac:dyDescent="0.25">
      <c r="B4154" t="s">
        <v>3400</v>
      </c>
      <c r="C4154" t="s">
        <v>3401</v>
      </c>
      <c r="D4154" t="str">
        <f>HYPERLINK("https://rhld.insurance.arkansas.gov/NPILookup?Npi=1518685957","1518685957")</f>
        <v>1518685957</v>
      </c>
      <c r="E4154" t="s">
        <v>3793</v>
      </c>
      <c r="F4154" t="s">
        <v>13</v>
      </c>
      <c r="G4154" s="20">
        <v>1</v>
      </c>
      <c r="H4154" t="s">
        <v>3403</v>
      </c>
      <c r="I4154" t="s">
        <v>4357</v>
      </c>
      <c r="J4154" s="9"/>
      <c r="K4154" s="9"/>
      <c r="L4154" s="9"/>
    </row>
    <row r="4155" spans="2:12" ht="15" x14ac:dyDescent="0.25">
      <c r="B4155" t="s">
        <v>3400</v>
      </c>
      <c r="C4155" t="s">
        <v>3401</v>
      </c>
      <c r="D4155" t="str">
        <f>HYPERLINK("https://rhld.insurance.arkansas.gov/NPILookup?Npi=1518700079","1518700079")</f>
        <v>1518700079</v>
      </c>
      <c r="E4155" t="s">
        <v>3794</v>
      </c>
      <c r="F4155" t="s">
        <v>13</v>
      </c>
      <c r="G4155" s="20">
        <v>1</v>
      </c>
      <c r="H4155" t="s">
        <v>3403</v>
      </c>
      <c r="I4155" t="s">
        <v>4357</v>
      </c>
      <c r="J4155" s="9"/>
      <c r="K4155" s="9"/>
      <c r="L4155" s="9"/>
    </row>
    <row r="4156" spans="2:12" ht="15" x14ac:dyDescent="0.25">
      <c r="B4156" t="s">
        <v>3400</v>
      </c>
      <c r="C4156" t="s">
        <v>3401</v>
      </c>
      <c r="D4156" t="str">
        <f>HYPERLINK("https://rhld.insurance.arkansas.gov/NPILookup?Npi=1518934314","1518934314")</f>
        <v>1518934314</v>
      </c>
      <c r="E4156" t="s">
        <v>2798</v>
      </c>
      <c r="F4156" t="s">
        <v>13</v>
      </c>
      <c r="G4156" s="20">
        <v>1</v>
      </c>
      <c r="H4156" t="s">
        <v>3403</v>
      </c>
      <c r="I4156" t="s">
        <v>4357</v>
      </c>
      <c r="J4156" s="9"/>
      <c r="K4156" s="9"/>
      <c r="L4156" s="9"/>
    </row>
    <row r="4157" spans="2:12" ht="15" x14ac:dyDescent="0.25">
      <c r="B4157" t="s">
        <v>3400</v>
      </c>
      <c r="C4157" t="s">
        <v>3401</v>
      </c>
      <c r="D4157" t="str">
        <f>HYPERLINK("https://rhld.insurance.arkansas.gov/NPILookup?Npi=1518961275","1518961275")</f>
        <v>1518961275</v>
      </c>
      <c r="E4157" t="s">
        <v>3795</v>
      </c>
      <c r="F4157" t="s">
        <v>13</v>
      </c>
      <c r="G4157" s="20">
        <v>1</v>
      </c>
      <c r="H4157" t="s">
        <v>3403</v>
      </c>
      <c r="I4157" t="s">
        <v>32</v>
      </c>
      <c r="J4157" s="9"/>
      <c r="K4157" s="9"/>
      <c r="L4157" s="9"/>
    </row>
    <row r="4158" spans="2:12" ht="15" x14ac:dyDescent="0.25">
      <c r="B4158" t="s">
        <v>3400</v>
      </c>
      <c r="C4158" t="s">
        <v>3401</v>
      </c>
      <c r="D4158" t="str">
        <f>HYPERLINK("https://rhld.insurance.arkansas.gov/NPILookup?Npi=1518965128","1518965128")</f>
        <v>1518965128</v>
      </c>
      <c r="E4158" t="s">
        <v>2799</v>
      </c>
      <c r="F4158" t="s">
        <v>13</v>
      </c>
      <c r="G4158" s="20">
        <v>1</v>
      </c>
      <c r="H4158" t="s">
        <v>3403</v>
      </c>
      <c r="I4158" t="s">
        <v>4357</v>
      </c>
      <c r="J4158" s="9"/>
      <c r="K4158" s="9"/>
      <c r="L4158" s="9"/>
    </row>
    <row r="4159" spans="2:12" ht="15" x14ac:dyDescent="0.25">
      <c r="B4159" t="s">
        <v>3400</v>
      </c>
      <c r="C4159" t="s">
        <v>3401</v>
      </c>
      <c r="D4159" t="str">
        <f>HYPERLINK("https://rhld.insurance.arkansas.gov/NPILookup?Npi=1528031655","1528031655")</f>
        <v>1528031655</v>
      </c>
      <c r="E4159" t="s">
        <v>2804</v>
      </c>
      <c r="F4159" t="s">
        <v>13</v>
      </c>
      <c r="G4159" s="20">
        <v>1</v>
      </c>
      <c r="H4159" t="s">
        <v>3403</v>
      </c>
      <c r="I4159" t="s">
        <v>4357</v>
      </c>
      <c r="J4159" s="9"/>
      <c r="K4159" s="9"/>
      <c r="L4159" s="9"/>
    </row>
    <row r="4160" spans="2:12" ht="15" x14ac:dyDescent="0.25">
      <c r="B4160" t="s">
        <v>3400</v>
      </c>
      <c r="C4160" t="s">
        <v>3401</v>
      </c>
      <c r="D4160" t="str">
        <f>HYPERLINK("https://rhld.insurance.arkansas.gov/NPILookup?Npi=1528039443","1528039443")</f>
        <v>1528039443</v>
      </c>
      <c r="E4160" t="s">
        <v>3796</v>
      </c>
      <c r="F4160" t="s">
        <v>13</v>
      </c>
      <c r="G4160" s="20">
        <v>1</v>
      </c>
      <c r="H4160" t="s">
        <v>3403</v>
      </c>
      <c r="I4160" t="s">
        <v>32</v>
      </c>
      <c r="J4160" s="9"/>
      <c r="K4160" s="9"/>
      <c r="L4160" s="9"/>
    </row>
    <row r="4161" spans="2:12" ht="15" x14ac:dyDescent="0.25">
      <c r="B4161" t="s">
        <v>3400</v>
      </c>
      <c r="C4161" t="s">
        <v>3401</v>
      </c>
      <c r="D4161" t="str">
        <f>HYPERLINK("https://rhld.insurance.arkansas.gov/NPILookup?Npi=1528055738","1528055738")</f>
        <v>1528055738</v>
      </c>
      <c r="E4161" t="s">
        <v>3797</v>
      </c>
      <c r="F4161" t="s">
        <v>13</v>
      </c>
      <c r="G4161" s="20">
        <v>1</v>
      </c>
      <c r="H4161" t="s">
        <v>3403</v>
      </c>
      <c r="I4161" t="s">
        <v>32</v>
      </c>
      <c r="J4161" s="9"/>
      <c r="K4161" s="9"/>
      <c r="L4161" s="9"/>
    </row>
    <row r="4162" spans="2:12" ht="15" x14ac:dyDescent="0.25">
      <c r="B4162" t="s">
        <v>3400</v>
      </c>
      <c r="C4162" t="s">
        <v>3401</v>
      </c>
      <c r="D4162" t="str">
        <f>HYPERLINK("https://rhld.insurance.arkansas.gov/NPILookup?Npi=1528200417","1528200417")</f>
        <v>1528200417</v>
      </c>
      <c r="E4162" t="s">
        <v>3798</v>
      </c>
      <c r="F4162" t="s">
        <v>13</v>
      </c>
      <c r="G4162" s="20">
        <v>1</v>
      </c>
      <c r="H4162" t="s">
        <v>3403</v>
      </c>
      <c r="I4162" t="s">
        <v>32</v>
      </c>
      <c r="J4162" s="9"/>
      <c r="K4162" s="9"/>
      <c r="L4162" s="9"/>
    </row>
    <row r="4163" spans="2:12" ht="15" x14ac:dyDescent="0.25">
      <c r="B4163" t="s">
        <v>3400</v>
      </c>
      <c r="C4163" t="s">
        <v>3401</v>
      </c>
      <c r="D4163" t="str">
        <f>HYPERLINK("https://rhld.insurance.arkansas.gov/NPILookup?Npi=1528204989","1528204989")</f>
        <v>1528204989</v>
      </c>
      <c r="E4163" t="s">
        <v>2808</v>
      </c>
      <c r="F4163" t="s">
        <v>13</v>
      </c>
      <c r="G4163" s="20">
        <v>1</v>
      </c>
      <c r="H4163" t="s">
        <v>4357</v>
      </c>
      <c r="I4163" t="s">
        <v>4357</v>
      </c>
      <c r="J4163" s="9"/>
      <c r="K4163" s="9"/>
      <c r="L4163" s="9"/>
    </row>
    <row r="4164" spans="2:12" ht="15" x14ac:dyDescent="0.25">
      <c r="B4164" t="s">
        <v>3400</v>
      </c>
      <c r="C4164" t="s">
        <v>3401</v>
      </c>
      <c r="D4164" t="str">
        <f>HYPERLINK("https://rhld.insurance.arkansas.gov/NPILookup?Npi=1528301207","1528301207")</f>
        <v>1528301207</v>
      </c>
      <c r="E4164" t="s">
        <v>3799</v>
      </c>
      <c r="F4164" t="s">
        <v>12</v>
      </c>
      <c r="G4164" s="20">
        <v>1</v>
      </c>
      <c r="H4164" t="s">
        <v>4338</v>
      </c>
      <c r="I4164" t="s">
        <v>32</v>
      </c>
      <c r="J4164" s="9"/>
      <c r="K4164" s="9"/>
      <c r="L4164" s="9"/>
    </row>
    <row r="4165" spans="2:12" ht="15" x14ac:dyDescent="0.25">
      <c r="B4165" t="s">
        <v>3400</v>
      </c>
      <c r="C4165" t="s">
        <v>3401</v>
      </c>
      <c r="D4165" t="str">
        <f>HYPERLINK("https://rhld.insurance.arkansas.gov/NPILookup?Npi=1528473915","1528473915")</f>
        <v>1528473915</v>
      </c>
      <c r="E4165" t="s">
        <v>3800</v>
      </c>
      <c r="F4165" t="s">
        <v>13</v>
      </c>
      <c r="G4165" s="20">
        <v>1</v>
      </c>
      <c r="H4165" t="s">
        <v>87</v>
      </c>
      <c r="I4165" t="s">
        <v>4357</v>
      </c>
      <c r="J4165" s="9"/>
      <c r="K4165" s="9"/>
      <c r="L4165" s="9"/>
    </row>
    <row r="4166" spans="2:12" ht="15" x14ac:dyDescent="0.25">
      <c r="B4166" t="s">
        <v>3400</v>
      </c>
      <c r="C4166" t="s">
        <v>3401</v>
      </c>
      <c r="D4166" t="str">
        <f>HYPERLINK("https://rhld.insurance.arkansas.gov/NPILookup?Npi=1528518339","1528518339")</f>
        <v>1528518339</v>
      </c>
      <c r="E4166" t="s">
        <v>3801</v>
      </c>
      <c r="F4166" t="s">
        <v>13</v>
      </c>
      <c r="G4166" s="20">
        <v>1</v>
      </c>
      <c r="H4166" t="s">
        <v>3403</v>
      </c>
      <c r="I4166" t="s">
        <v>4357</v>
      </c>
      <c r="J4166" s="9"/>
      <c r="K4166" s="9"/>
      <c r="L4166" s="9"/>
    </row>
    <row r="4167" spans="2:12" ht="15" x14ac:dyDescent="0.25">
      <c r="B4167" t="s">
        <v>3400</v>
      </c>
      <c r="C4167" t="s">
        <v>3401</v>
      </c>
      <c r="D4167" t="str">
        <f>HYPERLINK("https://rhld.insurance.arkansas.gov/NPILookup?Npi=1528538915","1528538915")</f>
        <v>1528538915</v>
      </c>
      <c r="E4167" t="s">
        <v>2813</v>
      </c>
      <c r="F4167" t="s">
        <v>13</v>
      </c>
      <c r="G4167" s="20">
        <v>1</v>
      </c>
      <c r="H4167" t="s">
        <v>4357</v>
      </c>
      <c r="I4167" t="s">
        <v>4357</v>
      </c>
      <c r="J4167" s="9"/>
      <c r="K4167" s="9"/>
      <c r="L4167" s="9"/>
    </row>
    <row r="4168" spans="2:12" ht="15" x14ac:dyDescent="0.25">
      <c r="B4168" t="s">
        <v>3400</v>
      </c>
      <c r="C4168" t="s">
        <v>3401</v>
      </c>
      <c r="D4168" t="str">
        <f>HYPERLINK("https://rhld.insurance.arkansas.gov/NPILookup?Npi=1528552130","1528552130")</f>
        <v>1528552130</v>
      </c>
      <c r="E4168" t="s">
        <v>3802</v>
      </c>
      <c r="F4168" t="s">
        <v>13</v>
      </c>
      <c r="G4168" s="20">
        <v>1</v>
      </c>
      <c r="H4168" t="s">
        <v>3403</v>
      </c>
      <c r="I4168" t="s">
        <v>32</v>
      </c>
      <c r="J4168" s="9"/>
      <c r="K4168" s="9"/>
      <c r="L4168" s="9"/>
    </row>
    <row r="4169" spans="2:12" ht="15" x14ac:dyDescent="0.25">
      <c r="B4169" t="s">
        <v>3400</v>
      </c>
      <c r="C4169" t="s">
        <v>3401</v>
      </c>
      <c r="D4169" t="str">
        <f>HYPERLINK("https://rhld.insurance.arkansas.gov/NPILookup?Npi=1528592862","1528592862")</f>
        <v>1528592862</v>
      </c>
      <c r="E4169" t="s">
        <v>3803</v>
      </c>
      <c r="F4169" t="s">
        <v>13</v>
      </c>
      <c r="G4169" s="20">
        <v>1</v>
      </c>
      <c r="H4169" t="s">
        <v>3403</v>
      </c>
      <c r="I4169" t="s">
        <v>4357</v>
      </c>
      <c r="J4169" s="9"/>
      <c r="K4169" s="9"/>
      <c r="L4169" s="9"/>
    </row>
    <row r="4170" spans="2:12" ht="15" x14ac:dyDescent="0.25">
      <c r="B4170" t="s">
        <v>3400</v>
      </c>
      <c r="C4170" t="s">
        <v>3401</v>
      </c>
      <c r="D4170" t="str">
        <f>HYPERLINK("https://rhld.insurance.arkansas.gov/NPILookup?Npi=1528686870","1528686870")</f>
        <v>1528686870</v>
      </c>
      <c r="E4170" t="s">
        <v>3804</v>
      </c>
      <c r="F4170" t="s">
        <v>13</v>
      </c>
      <c r="G4170" s="20">
        <v>1</v>
      </c>
      <c r="H4170" t="s">
        <v>3403</v>
      </c>
      <c r="I4170" t="s">
        <v>32</v>
      </c>
      <c r="J4170" s="9"/>
      <c r="K4170" s="9"/>
      <c r="L4170" s="9"/>
    </row>
    <row r="4171" spans="2:12" ht="15" x14ac:dyDescent="0.25">
      <c r="B4171" t="s">
        <v>3400</v>
      </c>
      <c r="C4171" t="s">
        <v>3401</v>
      </c>
      <c r="D4171" t="str">
        <f>HYPERLINK("https://rhld.insurance.arkansas.gov/NPILookup?Npi=1528694544","1528694544")</f>
        <v>1528694544</v>
      </c>
      <c r="E4171" t="s">
        <v>3805</v>
      </c>
      <c r="F4171" t="s">
        <v>13</v>
      </c>
      <c r="G4171" s="20">
        <v>1</v>
      </c>
      <c r="H4171" t="s">
        <v>3403</v>
      </c>
      <c r="I4171" t="s">
        <v>32</v>
      </c>
      <c r="J4171" s="9"/>
      <c r="K4171" s="9"/>
      <c r="L4171" s="9"/>
    </row>
    <row r="4172" spans="2:12" ht="15" x14ac:dyDescent="0.25">
      <c r="B4172" t="s">
        <v>3400</v>
      </c>
      <c r="C4172" t="s">
        <v>3401</v>
      </c>
      <c r="D4172" t="str">
        <f>HYPERLINK("https://rhld.insurance.arkansas.gov/NPILookup?Npi=1528733862","1528733862")</f>
        <v>1528733862</v>
      </c>
      <c r="E4172" t="s">
        <v>3806</v>
      </c>
      <c r="F4172" t="s">
        <v>13</v>
      </c>
      <c r="G4172" s="20">
        <v>1</v>
      </c>
      <c r="H4172" t="s">
        <v>3403</v>
      </c>
      <c r="I4172" t="s">
        <v>4357</v>
      </c>
      <c r="J4172" s="9"/>
      <c r="K4172" s="9"/>
      <c r="L4172" s="9"/>
    </row>
    <row r="4173" spans="2:12" ht="15" x14ac:dyDescent="0.25">
      <c r="B4173" t="s">
        <v>3400</v>
      </c>
      <c r="C4173" t="s">
        <v>3401</v>
      </c>
      <c r="D4173" t="str">
        <f>HYPERLINK("https://rhld.insurance.arkansas.gov/NPILookup?Npi=1528780285","1528780285")</f>
        <v>1528780285</v>
      </c>
      <c r="E4173" t="s">
        <v>2814</v>
      </c>
      <c r="F4173" t="s">
        <v>13</v>
      </c>
      <c r="G4173" s="20">
        <v>1</v>
      </c>
      <c r="H4173" t="s">
        <v>4357</v>
      </c>
      <c r="I4173" t="s">
        <v>4357</v>
      </c>
      <c r="J4173" s="9"/>
      <c r="K4173" s="9"/>
      <c r="L4173" s="9"/>
    </row>
    <row r="4174" spans="2:12" ht="15" x14ac:dyDescent="0.25">
      <c r="B4174" t="s">
        <v>3400</v>
      </c>
      <c r="C4174" t="s">
        <v>3401</v>
      </c>
      <c r="D4174" t="str">
        <f>HYPERLINK("https://rhld.insurance.arkansas.gov/NPILookup?Npi=1528837507","1528837507")</f>
        <v>1528837507</v>
      </c>
      <c r="E4174" t="s">
        <v>2815</v>
      </c>
      <c r="F4174" t="s">
        <v>13</v>
      </c>
      <c r="G4174" s="20">
        <v>1</v>
      </c>
      <c r="H4174" t="s">
        <v>4357</v>
      </c>
      <c r="I4174" t="s">
        <v>4357</v>
      </c>
      <c r="J4174" s="9"/>
      <c r="K4174" s="9"/>
      <c r="L4174" s="9"/>
    </row>
    <row r="4175" spans="2:12" ht="15" x14ac:dyDescent="0.25">
      <c r="B4175" t="s">
        <v>3400</v>
      </c>
      <c r="C4175" t="s">
        <v>3401</v>
      </c>
      <c r="D4175" t="str">
        <f>HYPERLINK("https://rhld.insurance.arkansas.gov/NPILookup?Npi=1528840113","1528840113")</f>
        <v>1528840113</v>
      </c>
      <c r="E4175" t="s">
        <v>3807</v>
      </c>
      <c r="F4175" t="s">
        <v>13</v>
      </c>
      <c r="G4175" s="20">
        <v>1</v>
      </c>
      <c r="H4175" t="s">
        <v>3403</v>
      </c>
      <c r="I4175" t="s">
        <v>32</v>
      </c>
      <c r="J4175" s="9"/>
      <c r="K4175" s="9"/>
      <c r="L4175" s="9"/>
    </row>
    <row r="4176" spans="2:12" ht="15" x14ac:dyDescent="0.25">
      <c r="B4176" t="s">
        <v>3400</v>
      </c>
      <c r="C4176" t="s">
        <v>3401</v>
      </c>
      <c r="D4176" t="str">
        <f>HYPERLINK("https://rhld.insurance.arkansas.gov/NPILookup?Npi=1528881919","1528881919")</f>
        <v>1528881919</v>
      </c>
      <c r="E4176" t="s">
        <v>2816</v>
      </c>
      <c r="F4176" t="s">
        <v>13</v>
      </c>
      <c r="G4176" s="20">
        <v>1</v>
      </c>
      <c r="H4176" t="s">
        <v>4357</v>
      </c>
      <c r="I4176" t="s">
        <v>4357</v>
      </c>
      <c r="J4176" s="9"/>
      <c r="K4176" s="9"/>
      <c r="L4176" s="9"/>
    </row>
    <row r="4177" spans="2:12" ht="15" x14ac:dyDescent="0.25">
      <c r="B4177" t="s">
        <v>3400</v>
      </c>
      <c r="C4177" t="s">
        <v>3401</v>
      </c>
      <c r="D4177" t="str">
        <f>HYPERLINK("https://rhld.insurance.arkansas.gov/NPILookup?Npi=1528883261","1528883261")</f>
        <v>1528883261</v>
      </c>
      <c r="E4177" t="s">
        <v>2817</v>
      </c>
      <c r="F4177" t="s">
        <v>13</v>
      </c>
      <c r="G4177" s="20">
        <v>1</v>
      </c>
      <c r="H4177" t="s">
        <v>4357</v>
      </c>
      <c r="I4177" t="s">
        <v>4357</v>
      </c>
      <c r="J4177" s="9"/>
      <c r="K4177" s="9"/>
      <c r="L4177" s="9"/>
    </row>
    <row r="4178" spans="2:12" ht="15" x14ac:dyDescent="0.25">
      <c r="B4178" t="s">
        <v>3400</v>
      </c>
      <c r="C4178" t="s">
        <v>3401</v>
      </c>
      <c r="D4178" t="str">
        <f>HYPERLINK("https://rhld.insurance.arkansas.gov/NPILookup?Npi=1538114822","1538114822")</f>
        <v>1538114822</v>
      </c>
      <c r="E4178" t="s">
        <v>3808</v>
      </c>
      <c r="F4178" t="s">
        <v>13</v>
      </c>
      <c r="G4178" s="20">
        <v>1</v>
      </c>
      <c r="H4178" t="s">
        <v>3403</v>
      </c>
      <c r="I4178" t="s">
        <v>32</v>
      </c>
      <c r="J4178" s="9"/>
      <c r="K4178" s="9"/>
      <c r="L4178" s="9"/>
    </row>
    <row r="4179" spans="2:12" ht="15" x14ac:dyDescent="0.25">
      <c r="B4179" t="s">
        <v>3400</v>
      </c>
      <c r="C4179" t="s">
        <v>3401</v>
      </c>
      <c r="D4179" t="str">
        <f>HYPERLINK("https://rhld.insurance.arkansas.gov/NPILookup?Npi=1538132279","1538132279")</f>
        <v>1538132279</v>
      </c>
      <c r="E4179" t="s">
        <v>3809</v>
      </c>
      <c r="F4179" t="s">
        <v>13</v>
      </c>
      <c r="G4179" s="20">
        <v>1</v>
      </c>
      <c r="H4179" t="s">
        <v>3403</v>
      </c>
      <c r="I4179" t="s">
        <v>32</v>
      </c>
      <c r="J4179" s="9"/>
      <c r="K4179" s="9"/>
      <c r="L4179" s="9"/>
    </row>
    <row r="4180" spans="2:12" ht="15" x14ac:dyDescent="0.25">
      <c r="B4180" t="s">
        <v>3400</v>
      </c>
      <c r="C4180" t="s">
        <v>3401</v>
      </c>
      <c r="D4180" t="str">
        <f>HYPERLINK("https://rhld.insurance.arkansas.gov/NPILookup?Npi=1538139563","1538139563")</f>
        <v>1538139563</v>
      </c>
      <c r="E4180" t="s">
        <v>3810</v>
      </c>
      <c r="F4180" t="s">
        <v>13</v>
      </c>
      <c r="G4180" s="20">
        <v>1</v>
      </c>
      <c r="H4180" t="s">
        <v>3403</v>
      </c>
      <c r="I4180" t="s">
        <v>4357</v>
      </c>
      <c r="J4180" s="9"/>
      <c r="K4180" s="9"/>
      <c r="L4180" s="9"/>
    </row>
    <row r="4181" spans="2:12" ht="15" x14ac:dyDescent="0.25">
      <c r="B4181" t="s">
        <v>3400</v>
      </c>
      <c r="C4181" t="s">
        <v>3401</v>
      </c>
      <c r="D4181" t="str">
        <f>HYPERLINK("https://rhld.insurance.arkansas.gov/NPILookup?Npi=1538141221","1538141221")</f>
        <v>1538141221</v>
      </c>
      <c r="E4181" t="s">
        <v>2818</v>
      </c>
      <c r="F4181" t="s">
        <v>13</v>
      </c>
      <c r="G4181" s="20">
        <v>1</v>
      </c>
      <c r="H4181" t="s">
        <v>3403</v>
      </c>
      <c r="I4181" t="s">
        <v>32</v>
      </c>
      <c r="J4181" s="9"/>
      <c r="K4181" s="9"/>
      <c r="L4181" s="9"/>
    </row>
    <row r="4182" spans="2:12" ht="15" x14ac:dyDescent="0.25">
      <c r="B4182" t="s">
        <v>3400</v>
      </c>
      <c r="C4182" t="s">
        <v>3401</v>
      </c>
      <c r="D4182" t="str">
        <f>HYPERLINK("https://rhld.insurance.arkansas.gov/NPILookup?Npi=1538154570","1538154570")</f>
        <v>1538154570</v>
      </c>
      <c r="E4182" t="s">
        <v>3811</v>
      </c>
      <c r="F4182" t="s">
        <v>13</v>
      </c>
      <c r="G4182" s="20">
        <v>1</v>
      </c>
      <c r="H4182" t="s">
        <v>3403</v>
      </c>
      <c r="I4182" t="s">
        <v>32</v>
      </c>
      <c r="J4182" s="9"/>
      <c r="K4182" s="9"/>
      <c r="L4182" s="9"/>
    </row>
    <row r="4183" spans="2:12" ht="15" x14ac:dyDescent="0.25">
      <c r="B4183" t="s">
        <v>3400</v>
      </c>
      <c r="C4183" t="s">
        <v>3401</v>
      </c>
      <c r="D4183" t="str">
        <f>HYPERLINK("https://rhld.insurance.arkansas.gov/NPILookup?Npi=1538155338","1538155338")</f>
        <v>1538155338</v>
      </c>
      <c r="E4183" t="s">
        <v>2819</v>
      </c>
      <c r="F4183" t="s">
        <v>13</v>
      </c>
      <c r="G4183" s="20">
        <v>1</v>
      </c>
      <c r="H4183" t="s">
        <v>3403</v>
      </c>
      <c r="I4183" t="s">
        <v>4357</v>
      </c>
      <c r="J4183" s="9"/>
      <c r="K4183" s="9"/>
      <c r="L4183" s="9"/>
    </row>
    <row r="4184" spans="2:12" ht="15" x14ac:dyDescent="0.25">
      <c r="B4184" t="s">
        <v>3400</v>
      </c>
      <c r="C4184" t="s">
        <v>3401</v>
      </c>
      <c r="D4184" t="str">
        <f>HYPERLINK("https://rhld.insurance.arkansas.gov/NPILookup?Npi=1538319884","1538319884")</f>
        <v>1538319884</v>
      </c>
      <c r="E4184" t="s">
        <v>3812</v>
      </c>
      <c r="F4184" t="s">
        <v>12</v>
      </c>
      <c r="G4184" s="20">
        <v>1</v>
      </c>
      <c r="H4184" t="s">
        <v>4338</v>
      </c>
      <c r="I4184" t="s">
        <v>32</v>
      </c>
      <c r="J4184" s="9"/>
      <c r="K4184" s="9"/>
      <c r="L4184" s="9"/>
    </row>
    <row r="4185" spans="2:12" ht="15" x14ac:dyDescent="0.25">
      <c r="B4185" t="s">
        <v>3400</v>
      </c>
      <c r="C4185" t="s">
        <v>3401</v>
      </c>
      <c r="D4185" t="str">
        <f>HYPERLINK("https://rhld.insurance.arkansas.gov/NPILookup?Npi=1538331962","1538331962")</f>
        <v>1538331962</v>
      </c>
      <c r="E4185" t="s">
        <v>3813</v>
      </c>
      <c r="F4185" t="s">
        <v>13</v>
      </c>
      <c r="G4185" s="20">
        <v>1</v>
      </c>
      <c r="H4185" t="s">
        <v>3403</v>
      </c>
      <c r="I4185" t="s">
        <v>32</v>
      </c>
      <c r="J4185" s="9"/>
      <c r="K4185" s="9"/>
      <c r="L4185" s="9"/>
    </row>
    <row r="4186" spans="2:12" ht="15" x14ac:dyDescent="0.25">
      <c r="B4186" t="s">
        <v>3400</v>
      </c>
      <c r="C4186" t="s">
        <v>3401</v>
      </c>
      <c r="D4186" t="str">
        <f>HYPERLINK("https://rhld.insurance.arkansas.gov/NPILookup?Npi=1538664388","1538664388")</f>
        <v>1538664388</v>
      </c>
      <c r="E4186" t="s">
        <v>684</v>
      </c>
      <c r="F4186" t="s">
        <v>13</v>
      </c>
      <c r="G4186" s="20">
        <v>1</v>
      </c>
      <c r="H4186" t="s">
        <v>4357</v>
      </c>
      <c r="I4186" t="s">
        <v>4357</v>
      </c>
      <c r="J4186" s="9"/>
      <c r="K4186" s="9"/>
      <c r="L4186" s="9"/>
    </row>
    <row r="4187" spans="2:12" ht="15" x14ac:dyDescent="0.25">
      <c r="B4187" t="s">
        <v>3400</v>
      </c>
      <c r="C4187" t="s">
        <v>3401</v>
      </c>
      <c r="D4187" t="str">
        <f>HYPERLINK("https://rhld.insurance.arkansas.gov/NPILookup?Npi=1538798087","1538798087")</f>
        <v>1538798087</v>
      </c>
      <c r="E4187" t="s">
        <v>3814</v>
      </c>
      <c r="F4187" t="s">
        <v>13</v>
      </c>
      <c r="G4187" s="20">
        <v>1</v>
      </c>
      <c r="H4187" t="s">
        <v>3403</v>
      </c>
      <c r="I4187" t="s">
        <v>32</v>
      </c>
      <c r="J4187" s="9"/>
      <c r="K4187" s="9"/>
      <c r="L4187" s="9"/>
    </row>
    <row r="4188" spans="2:12" ht="15" x14ac:dyDescent="0.25">
      <c r="B4188" t="s">
        <v>3400</v>
      </c>
      <c r="C4188" t="s">
        <v>3401</v>
      </c>
      <c r="D4188" t="str">
        <f>HYPERLINK("https://rhld.insurance.arkansas.gov/NPILookup?Npi=1538806591","1538806591")</f>
        <v>1538806591</v>
      </c>
      <c r="E4188" t="s">
        <v>3815</v>
      </c>
      <c r="F4188" t="s">
        <v>13</v>
      </c>
      <c r="G4188" s="20">
        <v>1</v>
      </c>
      <c r="H4188" t="s">
        <v>3403</v>
      </c>
      <c r="I4188" t="s">
        <v>4357</v>
      </c>
      <c r="J4188" s="9"/>
      <c r="K4188" s="9"/>
      <c r="L4188" s="9"/>
    </row>
    <row r="4189" spans="2:12" ht="15" x14ac:dyDescent="0.25">
      <c r="B4189" t="s">
        <v>3400</v>
      </c>
      <c r="C4189" t="s">
        <v>3401</v>
      </c>
      <c r="D4189" t="str">
        <f>HYPERLINK("https://rhld.insurance.arkansas.gov/NPILookup?Npi=1538968896","1538968896")</f>
        <v>1538968896</v>
      </c>
      <c r="E4189" t="s">
        <v>2080</v>
      </c>
      <c r="F4189" t="s">
        <v>13</v>
      </c>
      <c r="G4189" s="20">
        <v>1</v>
      </c>
      <c r="H4189" t="s">
        <v>4357</v>
      </c>
      <c r="I4189" t="s">
        <v>4357</v>
      </c>
      <c r="J4189" s="9"/>
      <c r="K4189" s="9"/>
      <c r="L4189" s="9"/>
    </row>
    <row r="4190" spans="2:12" ht="15" x14ac:dyDescent="0.25">
      <c r="B4190" t="s">
        <v>3400</v>
      </c>
      <c r="C4190" t="s">
        <v>3401</v>
      </c>
      <c r="D4190" t="str">
        <f>HYPERLINK("https://rhld.insurance.arkansas.gov/NPILookup?Npi=1548240856","1548240856")</f>
        <v>1548240856</v>
      </c>
      <c r="E4190" t="s">
        <v>3816</v>
      </c>
      <c r="F4190" t="s">
        <v>13</v>
      </c>
      <c r="G4190" s="20">
        <v>1</v>
      </c>
      <c r="H4190" t="s">
        <v>3403</v>
      </c>
      <c r="I4190" t="s">
        <v>4357</v>
      </c>
      <c r="J4190" s="9"/>
      <c r="K4190" s="9"/>
      <c r="L4190" s="9"/>
    </row>
    <row r="4191" spans="2:12" ht="15" x14ac:dyDescent="0.25">
      <c r="B4191" t="s">
        <v>3400</v>
      </c>
      <c r="C4191" t="s">
        <v>3401</v>
      </c>
      <c r="D4191" t="str">
        <f>HYPERLINK("https://rhld.insurance.arkansas.gov/NPILookup?Npi=1548329857","1548329857")</f>
        <v>1548329857</v>
      </c>
      <c r="E4191" t="s">
        <v>3817</v>
      </c>
      <c r="F4191" t="s">
        <v>13</v>
      </c>
      <c r="G4191" s="20">
        <v>1</v>
      </c>
      <c r="H4191" t="s">
        <v>3403</v>
      </c>
      <c r="I4191" t="s">
        <v>32</v>
      </c>
      <c r="J4191" s="9"/>
      <c r="K4191" s="9"/>
      <c r="L4191" s="9"/>
    </row>
    <row r="4192" spans="2:12" ht="15" x14ac:dyDescent="0.25">
      <c r="B4192" t="s">
        <v>3400</v>
      </c>
      <c r="C4192" t="s">
        <v>3401</v>
      </c>
      <c r="D4192" t="str">
        <f>HYPERLINK("https://rhld.insurance.arkansas.gov/NPILookup?Npi=1548357981","1548357981")</f>
        <v>1548357981</v>
      </c>
      <c r="E4192" t="s">
        <v>2830</v>
      </c>
      <c r="F4192" t="s">
        <v>13</v>
      </c>
      <c r="G4192" s="20">
        <v>1</v>
      </c>
      <c r="H4192" t="s">
        <v>3403</v>
      </c>
      <c r="I4192" t="s">
        <v>4357</v>
      </c>
      <c r="J4192" s="9"/>
      <c r="K4192" s="9"/>
      <c r="L4192" s="9"/>
    </row>
    <row r="4193" spans="2:12" ht="15" x14ac:dyDescent="0.25">
      <c r="B4193" t="s">
        <v>3400</v>
      </c>
      <c r="C4193" t="s">
        <v>3401</v>
      </c>
      <c r="D4193" t="str">
        <f>HYPERLINK("https://rhld.insurance.arkansas.gov/NPILookup?Npi=1548366354","1548366354")</f>
        <v>1548366354</v>
      </c>
      <c r="E4193" t="s">
        <v>3818</v>
      </c>
      <c r="F4193" t="s">
        <v>13</v>
      </c>
      <c r="G4193" s="20">
        <v>1</v>
      </c>
      <c r="H4193" t="s">
        <v>3403</v>
      </c>
      <c r="I4193" t="s">
        <v>32</v>
      </c>
      <c r="J4193" s="9"/>
      <c r="K4193" s="9"/>
      <c r="L4193" s="9"/>
    </row>
    <row r="4194" spans="2:12" ht="15" x14ac:dyDescent="0.25">
      <c r="B4194" t="s">
        <v>3400</v>
      </c>
      <c r="C4194" t="s">
        <v>3401</v>
      </c>
      <c r="D4194" t="str">
        <f>HYPERLINK("https://rhld.insurance.arkansas.gov/NPILookup?Npi=1548464936","1548464936")</f>
        <v>1548464936</v>
      </c>
      <c r="E4194" t="s">
        <v>3819</v>
      </c>
      <c r="F4194" t="s">
        <v>13</v>
      </c>
      <c r="G4194" s="20">
        <v>1</v>
      </c>
      <c r="H4194" t="s">
        <v>3403</v>
      </c>
      <c r="I4194" t="s">
        <v>32</v>
      </c>
      <c r="J4194" s="9"/>
      <c r="K4194" s="9"/>
      <c r="L4194" s="9"/>
    </row>
    <row r="4195" spans="2:12" ht="15" x14ac:dyDescent="0.25">
      <c r="B4195" t="s">
        <v>3400</v>
      </c>
      <c r="C4195" t="s">
        <v>3401</v>
      </c>
      <c r="D4195" t="str">
        <f>HYPERLINK("https://rhld.insurance.arkansas.gov/NPILookup?Npi=1548611049","1548611049")</f>
        <v>1548611049</v>
      </c>
      <c r="E4195" t="s">
        <v>3820</v>
      </c>
      <c r="F4195" t="s">
        <v>13</v>
      </c>
      <c r="G4195" s="20">
        <v>1</v>
      </c>
      <c r="H4195" t="s">
        <v>3403</v>
      </c>
      <c r="I4195" t="s">
        <v>32</v>
      </c>
      <c r="J4195" s="9"/>
      <c r="K4195" s="9"/>
      <c r="L4195" s="9"/>
    </row>
    <row r="4196" spans="2:12" ht="15" x14ac:dyDescent="0.25">
      <c r="B4196" t="s">
        <v>3400</v>
      </c>
      <c r="C4196" t="s">
        <v>3401</v>
      </c>
      <c r="D4196" t="str">
        <f>HYPERLINK("https://rhld.insurance.arkansas.gov/NPILookup?Npi=1548727522","1548727522")</f>
        <v>1548727522</v>
      </c>
      <c r="E4196" t="s">
        <v>3821</v>
      </c>
      <c r="F4196" t="s">
        <v>13</v>
      </c>
      <c r="G4196" s="20">
        <v>1</v>
      </c>
      <c r="H4196" t="s">
        <v>3403</v>
      </c>
      <c r="I4196" t="s">
        <v>4357</v>
      </c>
      <c r="J4196" s="9"/>
      <c r="K4196" s="9"/>
      <c r="L4196" s="9"/>
    </row>
    <row r="4197" spans="2:12" ht="15" x14ac:dyDescent="0.25">
      <c r="B4197" t="s">
        <v>3400</v>
      </c>
      <c r="C4197" t="s">
        <v>3401</v>
      </c>
      <c r="D4197" t="str">
        <f>HYPERLINK("https://rhld.insurance.arkansas.gov/NPILookup?Npi=1548850084","1548850084")</f>
        <v>1548850084</v>
      </c>
      <c r="E4197" t="s">
        <v>2837</v>
      </c>
      <c r="F4197" t="s">
        <v>13</v>
      </c>
      <c r="G4197" s="20">
        <v>1</v>
      </c>
      <c r="H4197" t="s">
        <v>4357</v>
      </c>
      <c r="I4197" t="s">
        <v>4357</v>
      </c>
      <c r="J4197" s="9"/>
      <c r="K4197" s="9"/>
      <c r="L4197" s="9"/>
    </row>
    <row r="4198" spans="2:12" ht="15" x14ac:dyDescent="0.25">
      <c r="B4198" t="s">
        <v>3400</v>
      </c>
      <c r="C4198" t="s">
        <v>3401</v>
      </c>
      <c r="D4198" t="str">
        <f>HYPERLINK("https://rhld.insurance.arkansas.gov/NPILookup?Npi=1548899107","1548899107")</f>
        <v>1548899107</v>
      </c>
      <c r="E4198" t="s">
        <v>3822</v>
      </c>
      <c r="F4198" t="s">
        <v>13</v>
      </c>
      <c r="G4198" s="20">
        <v>1</v>
      </c>
      <c r="H4198" t="s">
        <v>3403</v>
      </c>
      <c r="I4198" t="s">
        <v>32</v>
      </c>
      <c r="J4198" s="9"/>
      <c r="K4198" s="9"/>
      <c r="L4198" s="9"/>
    </row>
    <row r="4199" spans="2:12" ht="15" x14ac:dyDescent="0.25">
      <c r="B4199" t="s">
        <v>3400</v>
      </c>
      <c r="C4199" t="s">
        <v>3401</v>
      </c>
      <c r="D4199" t="str">
        <f>HYPERLINK("https://rhld.insurance.arkansas.gov/NPILookup?Npi=1548921497","1548921497")</f>
        <v>1548921497</v>
      </c>
      <c r="E4199" t="s">
        <v>3823</v>
      </c>
      <c r="F4199" t="s">
        <v>13</v>
      </c>
      <c r="G4199" s="20">
        <v>1</v>
      </c>
      <c r="H4199" t="s">
        <v>3403</v>
      </c>
      <c r="I4199" t="s">
        <v>32</v>
      </c>
      <c r="J4199" s="9"/>
      <c r="K4199" s="9"/>
      <c r="L4199" s="9"/>
    </row>
    <row r="4200" spans="2:12" ht="15" x14ac:dyDescent="0.25">
      <c r="B4200" t="s">
        <v>3400</v>
      </c>
      <c r="C4200" t="s">
        <v>3401</v>
      </c>
      <c r="D4200" t="str">
        <f>HYPERLINK("https://rhld.insurance.arkansas.gov/NPILookup?Npi=1548938764","1548938764")</f>
        <v>1548938764</v>
      </c>
      <c r="E4200" t="s">
        <v>2838</v>
      </c>
      <c r="F4200" t="s">
        <v>13</v>
      </c>
      <c r="G4200" s="20">
        <v>1</v>
      </c>
      <c r="H4200" t="s">
        <v>3403</v>
      </c>
      <c r="I4200" t="s">
        <v>4357</v>
      </c>
      <c r="J4200" s="9"/>
      <c r="K4200" s="9"/>
      <c r="L4200" s="9"/>
    </row>
    <row r="4201" spans="2:12" ht="15" x14ac:dyDescent="0.25">
      <c r="B4201" t="s">
        <v>3400</v>
      </c>
      <c r="C4201" t="s">
        <v>3401</v>
      </c>
      <c r="D4201" t="str">
        <f>HYPERLINK("https://rhld.insurance.arkansas.gov/NPILookup?Npi=1558093393","1558093393")</f>
        <v>1558093393</v>
      </c>
      <c r="E4201" t="s">
        <v>2840</v>
      </c>
      <c r="F4201" t="s">
        <v>13</v>
      </c>
      <c r="G4201" s="20">
        <v>1</v>
      </c>
      <c r="H4201" t="s">
        <v>4357</v>
      </c>
      <c r="I4201" t="s">
        <v>4357</v>
      </c>
      <c r="J4201" s="9"/>
      <c r="K4201" s="9"/>
      <c r="L4201" s="9"/>
    </row>
    <row r="4202" spans="2:12" ht="15" x14ac:dyDescent="0.25">
      <c r="B4202" t="s">
        <v>3400</v>
      </c>
      <c r="C4202" t="s">
        <v>3401</v>
      </c>
      <c r="D4202" t="str">
        <f>HYPERLINK("https://rhld.insurance.arkansas.gov/NPILookup?Npi=1558306019","1558306019")</f>
        <v>1558306019</v>
      </c>
      <c r="E4202" t="s">
        <v>3824</v>
      </c>
      <c r="F4202" t="s">
        <v>13</v>
      </c>
      <c r="G4202" s="20">
        <v>1</v>
      </c>
      <c r="H4202" t="s">
        <v>3403</v>
      </c>
      <c r="I4202" t="s">
        <v>4357</v>
      </c>
      <c r="J4202" s="9"/>
      <c r="K4202" s="9"/>
      <c r="L4202" s="9"/>
    </row>
    <row r="4203" spans="2:12" ht="15" x14ac:dyDescent="0.25">
      <c r="B4203" t="s">
        <v>3400</v>
      </c>
      <c r="C4203" t="s">
        <v>3401</v>
      </c>
      <c r="D4203" t="str">
        <f>HYPERLINK("https://rhld.insurance.arkansas.gov/NPILookup?Npi=1558330704","1558330704")</f>
        <v>1558330704</v>
      </c>
      <c r="E4203" t="s">
        <v>3825</v>
      </c>
      <c r="F4203" t="s">
        <v>12</v>
      </c>
      <c r="G4203" s="20">
        <v>1</v>
      </c>
      <c r="H4203" t="s">
        <v>4338</v>
      </c>
      <c r="I4203" t="s">
        <v>32</v>
      </c>
      <c r="J4203" s="9"/>
      <c r="K4203" s="9"/>
      <c r="L4203" s="9"/>
    </row>
    <row r="4204" spans="2:12" ht="15" x14ac:dyDescent="0.25">
      <c r="B4204" t="s">
        <v>3400</v>
      </c>
      <c r="C4204" t="s">
        <v>3401</v>
      </c>
      <c r="D4204" t="str">
        <f>HYPERLINK("https://rhld.insurance.arkansas.gov/NPILookup?Npi=1558511261","1558511261")</f>
        <v>1558511261</v>
      </c>
      <c r="E4204" t="s">
        <v>2844</v>
      </c>
      <c r="F4204" t="s">
        <v>13</v>
      </c>
      <c r="G4204" s="20">
        <v>1</v>
      </c>
      <c r="H4204" t="s">
        <v>3403</v>
      </c>
      <c r="I4204" t="s">
        <v>4357</v>
      </c>
      <c r="J4204" s="9"/>
      <c r="K4204" s="9"/>
      <c r="L4204" s="9"/>
    </row>
    <row r="4205" spans="2:12" ht="15" x14ac:dyDescent="0.25">
      <c r="B4205" t="s">
        <v>3400</v>
      </c>
      <c r="C4205" t="s">
        <v>3401</v>
      </c>
      <c r="D4205" t="str">
        <f>HYPERLINK("https://rhld.insurance.arkansas.gov/NPILookup?Npi=1558547919","1558547919")</f>
        <v>1558547919</v>
      </c>
      <c r="E4205" t="s">
        <v>3826</v>
      </c>
      <c r="F4205" t="s">
        <v>13</v>
      </c>
      <c r="G4205" s="20">
        <v>1</v>
      </c>
      <c r="H4205" t="s">
        <v>3403</v>
      </c>
      <c r="I4205" t="s">
        <v>32</v>
      </c>
      <c r="J4205" s="9"/>
      <c r="K4205" s="9"/>
      <c r="L4205" s="9"/>
    </row>
    <row r="4206" spans="2:12" ht="15" x14ac:dyDescent="0.25">
      <c r="B4206" t="s">
        <v>3400</v>
      </c>
      <c r="C4206" t="s">
        <v>3401</v>
      </c>
      <c r="D4206" t="str">
        <f>HYPERLINK("https://rhld.insurance.arkansas.gov/NPILookup?Npi=1558603951","1558603951")</f>
        <v>1558603951</v>
      </c>
      <c r="E4206" t="s">
        <v>3827</v>
      </c>
      <c r="F4206" t="s">
        <v>12</v>
      </c>
      <c r="G4206" s="20">
        <v>1</v>
      </c>
      <c r="H4206" t="s">
        <v>4338</v>
      </c>
      <c r="I4206" t="s">
        <v>32</v>
      </c>
      <c r="J4206" s="9"/>
      <c r="K4206" s="9"/>
      <c r="L4206" s="9"/>
    </row>
    <row r="4207" spans="2:12" ht="15" x14ac:dyDescent="0.25">
      <c r="B4207" t="s">
        <v>3400</v>
      </c>
      <c r="C4207" t="s">
        <v>3401</v>
      </c>
      <c r="D4207" t="str">
        <f>HYPERLINK("https://rhld.insurance.arkansas.gov/NPILookup?Npi=1558616557","1558616557")</f>
        <v>1558616557</v>
      </c>
      <c r="E4207" t="s">
        <v>3828</v>
      </c>
      <c r="F4207" t="s">
        <v>13</v>
      </c>
      <c r="G4207" s="20">
        <v>1</v>
      </c>
      <c r="H4207" t="s">
        <v>3403</v>
      </c>
      <c r="I4207" t="s">
        <v>4357</v>
      </c>
      <c r="J4207" s="9"/>
      <c r="K4207" s="9"/>
      <c r="L4207" s="9"/>
    </row>
    <row r="4208" spans="2:12" ht="15" x14ac:dyDescent="0.25">
      <c r="B4208" t="s">
        <v>3400</v>
      </c>
      <c r="C4208" t="s">
        <v>3401</v>
      </c>
      <c r="D4208" t="str">
        <f>HYPERLINK("https://rhld.insurance.arkansas.gov/NPILookup?Npi=1558657999","1558657999")</f>
        <v>1558657999</v>
      </c>
      <c r="E4208" t="s">
        <v>3829</v>
      </c>
      <c r="F4208" t="s">
        <v>13</v>
      </c>
      <c r="G4208" s="20">
        <v>1</v>
      </c>
      <c r="H4208" t="s">
        <v>3403</v>
      </c>
      <c r="I4208" t="s">
        <v>32</v>
      </c>
      <c r="J4208" s="9"/>
      <c r="K4208" s="9"/>
      <c r="L4208" s="9"/>
    </row>
    <row r="4209" spans="2:12" ht="15" x14ac:dyDescent="0.25">
      <c r="B4209" t="s">
        <v>3400</v>
      </c>
      <c r="C4209" t="s">
        <v>3401</v>
      </c>
      <c r="D4209" t="str">
        <f>HYPERLINK("https://rhld.insurance.arkansas.gov/NPILookup?Npi=1558704536","1558704536")</f>
        <v>1558704536</v>
      </c>
      <c r="E4209" t="s">
        <v>1422</v>
      </c>
      <c r="F4209" t="s">
        <v>12</v>
      </c>
      <c r="G4209" s="20">
        <v>1</v>
      </c>
      <c r="H4209" t="s">
        <v>139</v>
      </c>
      <c r="I4209" t="s">
        <v>4357</v>
      </c>
      <c r="J4209" s="9"/>
      <c r="K4209" s="9"/>
      <c r="L4209" s="9"/>
    </row>
    <row r="4210" spans="2:12" ht="15" x14ac:dyDescent="0.25">
      <c r="B4210" t="s">
        <v>3400</v>
      </c>
      <c r="C4210" t="s">
        <v>3401</v>
      </c>
      <c r="D4210" t="str">
        <f>HYPERLINK("https://rhld.insurance.arkansas.gov/NPILookup?Npi=1558715987","1558715987")</f>
        <v>1558715987</v>
      </c>
      <c r="E4210" t="s">
        <v>3830</v>
      </c>
      <c r="F4210" t="s">
        <v>13</v>
      </c>
      <c r="G4210" s="20">
        <v>1</v>
      </c>
      <c r="H4210" t="s">
        <v>3403</v>
      </c>
      <c r="I4210" t="s">
        <v>32</v>
      </c>
      <c r="J4210" s="9"/>
      <c r="K4210" s="9"/>
      <c r="L4210" s="9"/>
    </row>
    <row r="4211" spans="2:12" ht="15" x14ac:dyDescent="0.25">
      <c r="B4211" t="s">
        <v>3400</v>
      </c>
      <c r="C4211" t="s">
        <v>3401</v>
      </c>
      <c r="D4211" t="str">
        <f>HYPERLINK("https://rhld.insurance.arkansas.gov/NPILookup?Npi=1558761668","1558761668")</f>
        <v>1558761668</v>
      </c>
      <c r="E4211" t="s">
        <v>2847</v>
      </c>
      <c r="F4211" t="s">
        <v>13</v>
      </c>
      <c r="G4211" s="20">
        <v>1</v>
      </c>
      <c r="H4211" t="s">
        <v>3403</v>
      </c>
      <c r="I4211" t="s">
        <v>4357</v>
      </c>
      <c r="J4211" s="9"/>
      <c r="K4211" s="9"/>
      <c r="L4211" s="9"/>
    </row>
    <row r="4212" spans="2:12" ht="15" x14ac:dyDescent="0.25">
      <c r="B4212" t="s">
        <v>3400</v>
      </c>
      <c r="C4212" t="s">
        <v>3401</v>
      </c>
      <c r="D4212" t="str">
        <f>HYPERLINK("https://rhld.insurance.arkansas.gov/NPILookup?Npi=1558779710","1558779710")</f>
        <v>1558779710</v>
      </c>
      <c r="E4212" t="s">
        <v>3831</v>
      </c>
      <c r="F4212" t="s">
        <v>13</v>
      </c>
      <c r="G4212" s="20">
        <v>1</v>
      </c>
      <c r="H4212" t="s">
        <v>3403</v>
      </c>
      <c r="I4212" t="s">
        <v>32</v>
      </c>
      <c r="J4212" s="9"/>
      <c r="K4212" s="9"/>
      <c r="L4212" s="9"/>
    </row>
    <row r="4213" spans="2:12" ht="15" x14ac:dyDescent="0.25">
      <c r="B4213" t="s">
        <v>3400</v>
      </c>
      <c r="C4213" t="s">
        <v>3401</v>
      </c>
      <c r="D4213" t="str">
        <f>HYPERLINK("https://rhld.insurance.arkansas.gov/NPILookup?Npi=1558817205","1558817205")</f>
        <v>1558817205</v>
      </c>
      <c r="E4213" t="s">
        <v>3832</v>
      </c>
      <c r="F4213" t="s">
        <v>12</v>
      </c>
      <c r="G4213" s="20">
        <v>1</v>
      </c>
      <c r="H4213" t="s">
        <v>4338</v>
      </c>
      <c r="I4213" t="s">
        <v>32</v>
      </c>
      <c r="J4213" s="9"/>
      <c r="K4213" s="9"/>
      <c r="L4213" s="9"/>
    </row>
    <row r="4214" spans="2:12" ht="15" x14ac:dyDescent="0.25">
      <c r="B4214" t="s">
        <v>3400</v>
      </c>
      <c r="C4214" t="s">
        <v>3401</v>
      </c>
      <c r="D4214" t="str">
        <f>HYPERLINK("https://rhld.insurance.arkansas.gov/NPILookup?Npi=1558874818","1558874818")</f>
        <v>1558874818</v>
      </c>
      <c r="E4214" t="s">
        <v>3833</v>
      </c>
      <c r="F4214" t="s">
        <v>13</v>
      </c>
      <c r="G4214" s="20">
        <v>1</v>
      </c>
      <c r="H4214" t="s">
        <v>3403</v>
      </c>
      <c r="I4214" t="s">
        <v>32</v>
      </c>
      <c r="J4214" s="9"/>
      <c r="K4214" s="9"/>
      <c r="L4214" s="9"/>
    </row>
    <row r="4215" spans="2:12" ht="15" x14ac:dyDescent="0.25">
      <c r="B4215" t="s">
        <v>3400</v>
      </c>
      <c r="C4215" t="s">
        <v>3401</v>
      </c>
      <c r="D4215" t="str">
        <f>HYPERLINK("https://rhld.insurance.arkansas.gov/NPILookup?Npi=1558948398","1558948398")</f>
        <v>1558948398</v>
      </c>
      <c r="E4215" t="s">
        <v>2850</v>
      </c>
      <c r="F4215" t="s">
        <v>13</v>
      </c>
      <c r="G4215" s="20">
        <v>1</v>
      </c>
      <c r="H4215" t="s">
        <v>4357</v>
      </c>
      <c r="I4215" t="s">
        <v>4357</v>
      </c>
      <c r="J4215" s="9"/>
      <c r="K4215" s="9"/>
      <c r="L4215" s="9"/>
    </row>
    <row r="4216" spans="2:12" ht="15" x14ac:dyDescent="0.25">
      <c r="B4216" t="s">
        <v>3400</v>
      </c>
      <c r="C4216" t="s">
        <v>3401</v>
      </c>
      <c r="D4216" t="str">
        <f>HYPERLINK("https://rhld.insurance.arkansas.gov/NPILookup?Npi=1568006211","1568006211")</f>
        <v>1568006211</v>
      </c>
      <c r="E4216" t="s">
        <v>2852</v>
      </c>
      <c r="F4216" t="s">
        <v>13</v>
      </c>
      <c r="G4216" s="20">
        <v>1</v>
      </c>
      <c r="H4216" t="s">
        <v>4357</v>
      </c>
      <c r="I4216" t="s">
        <v>4357</v>
      </c>
      <c r="J4216" s="9"/>
      <c r="K4216" s="9"/>
      <c r="L4216" s="9"/>
    </row>
    <row r="4217" spans="2:12" ht="15" x14ac:dyDescent="0.25">
      <c r="B4217" t="s">
        <v>3400</v>
      </c>
      <c r="C4217" t="s">
        <v>3401</v>
      </c>
      <c r="D4217" t="str">
        <f>HYPERLINK("https://rhld.insurance.arkansas.gov/NPILookup?Npi=1568061828","1568061828")</f>
        <v>1568061828</v>
      </c>
      <c r="E4217" t="s">
        <v>3834</v>
      </c>
      <c r="F4217" t="s">
        <v>13</v>
      </c>
      <c r="G4217" s="20">
        <v>1</v>
      </c>
      <c r="H4217" t="s">
        <v>3403</v>
      </c>
      <c r="I4217" t="s">
        <v>32</v>
      </c>
      <c r="J4217" s="9"/>
      <c r="K4217" s="9"/>
      <c r="L4217" s="9"/>
    </row>
    <row r="4218" spans="2:12" ht="15" x14ac:dyDescent="0.25">
      <c r="B4218" t="s">
        <v>3400</v>
      </c>
      <c r="C4218" t="s">
        <v>3401</v>
      </c>
      <c r="D4218" t="str">
        <f>HYPERLINK("https://rhld.insurance.arkansas.gov/NPILookup?Npi=1568088490","1568088490")</f>
        <v>1568088490</v>
      </c>
      <c r="E4218" t="s">
        <v>2853</v>
      </c>
      <c r="F4218" t="s">
        <v>13</v>
      </c>
      <c r="G4218" s="20">
        <v>1</v>
      </c>
      <c r="H4218" t="s">
        <v>4357</v>
      </c>
      <c r="I4218" t="s">
        <v>4357</v>
      </c>
      <c r="J4218" s="9"/>
      <c r="K4218" s="9"/>
      <c r="L4218" s="9"/>
    </row>
    <row r="4219" spans="2:12" ht="15" x14ac:dyDescent="0.25">
      <c r="B4219" t="s">
        <v>3400</v>
      </c>
      <c r="C4219" t="s">
        <v>3401</v>
      </c>
      <c r="D4219" t="str">
        <f>HYPERLINK("https://rhld.insurance.arkansas.gov/NPILookup?Npi=1568090959","1568090959")</f>
        <v>1568090959</v>
      </c>
      <c r="E4219" t="s">
        <v>3835</v>
      </c>
      <c r="F4219" t="s">
        <v>13</v>
      </c>
      <c r="G4219" s="20">
        <v>1</v>
      </c>
      <c r="H4219" t="s">
        <v>3403</v>
      </c>
      <c r="I4219" t="s">
        <v>32</v>
      </c>
      <c r="J4219" s="9"/>
      <c r="K4219" s="9"/>
      <c r="L4219" s="9"/>
    </row>
    <row r="4220" spans="2:12" ht="15" x14ac:dyDescent="0.25">
      <c r="B4220" t="s">
        <v>3400</v>
      </c>
      <c r="C4220" t="s">
        <v>3401</v>
      </c>
      <c r="D4220" t="str">
        <f>HYPERLINK("https://rhld.insurance.arkansas.gov/NPILookup?Npi=1568105146","1568105146")</f>
        <v>1568105146</v>
      </c>
      <c r="E4220" t="s">
        <v>3836</v>
      </c>
      <c r="F4220" t="s">
        <v>13</v>
      </c>
      <c r="G4220" s="20">
        <v>1</v>
      </c>
      <c r="H4220" t="s">
        <v>3403</v>
      </c>
      <c r="I4220" t="s">
        <v>4357</v>
      </c>
      <c r="J4220" s="9"/>
      <c r="K4220" s="9"/>
      <c r="L4220" s="9"/>
    </row>
    <row r="4221" spans="2:12" ht="15" x14ac:dyDescent="0.25">
      <c r="B4221" t="s">
        <v>3400</v>
      </c>
      <c r="C4221" t="s">
        <v>3401</v>
      </c>
      <c r="D4221" t="str">
        <f>HYPERLINK("https://rhld.insurance.arkansas.gov/NPILookup?Npi=1568208221","1568208221")</f>
        <v>1568208221</v>
      </c>
      <c r="E4221" t="s">
        <v>2855</v>
      </c>
      <c r="F4221" t="s">
        <v>13</v>
      </c>
      <c r="G4221" s="20">
        <v>1</v>
      </c>
      <c r="H4221" t="s">
        <v>4357</v>
      </c>
      <c r="I4221" t="s">
        <v>4357</v>
      </c>
      <c r="J4221" s="9"/>
      <c r="K4221" s="9"/>
      <c r="L4221" s="9"/>
    </row>
    <row r="4222" spans="2:12" ht="15" x14ac:dyDescent="0.25">
      <c r="B4222" t="s">
        <v>3400</v>
      </c>
      <c r="C4222" t="s">
        <v>3401</v>
      </c>
      <c r="D4222" t="str">
        <f>HYPERLINK("https://rhld.insurance.arkansas.gov/NPILookup?Npi=1568275501","1568275501")</f>
        <v>1568275501</v>
      </c>
      <c r="E4222" t="s">
        <v>2081</v>
      </c>
      <c r="F4222" t="s">
        <v>13</v>
      </c>
      <c r="G4222" s="20">
        <v>1</v>
      </c>
      <c r="H4222" t="s">
        <v>4357</v>
      </c>
      <c r="I4222" t="s">
        <v>4357</v>
      </c>
      <c r="J4222" s="9"/>
      <c r="K4222" s="9"/>
      <c r="L4222" s="9"/>
    </row>
    <row r="4223" spans="2:12" ht="15" x14ac:dyDescent="0.25">
      <c r="B4223" t="s">
        <v>3400</v>
      </c>
      <c r="C4223" t="s">
        <v>3401</v>
      </c>
      <c r="D4223" t="str">
        <f>HYPERLINK("https://rhld.insurance.arkansas.gov/NPILookup?Npi=1568293249","1568293249")</f>
        <v>1568293249</v>
      </c>
      <c r="E4223" t="s">
        <v>2082</v>
      </c>
      <c r="F4223" t="s">
        <v>13</v>
      </c>
      <c r="G4223" s="20">
        <v>1</v>
      </c>
      <c r="H4223" t="s">
        <v>4357</v>
      </c>
      <c r="I4223" t="s">
        <v>4357</v>
      </c>
      <c r="J4223" s="9"/>
      <c r="K4223" s="9"/>
      <c r="L4223" s="9"/>
    </row>
    <row r="4224" spans="2:12" ht="15" x14ac:dyDescent="0.25">
      <c r="B4224" t="s">
        <v>3400</v>
      </c>
      <c r="C4224" t="s">
        <v>3401</v>
      </c>
      <c r="D4224" t="str">
        <f>HYPERLINK("https://rhld.insurance.arkansas.gov/NPILookup?Npi=1568434520","1568434520")</f>
        <v>1568434520</v>
      </c>
      <c r="E4224" t="s">
        <v>2856</v>
      </c>
      <c r="F4224" t="s">
        <v>13</v>
      </c>
      <c r="G4224" s="20">
        <v>1</v>
      </c>
      <c r="H4224" t="s">
        <v>3403</v>
      </c>
      <c r="I4224" t="s">
        <v>4357</v>
      </c>
      <c r="J4224" s="9"/>
      <c r="K4224" s="9"/>
      <c r="L4224" s="9"/>
    </row>
    <row r="4225" spans="2:12" ht="15" x14ac:dyDescent="0.25">
      <c r="B4225" t="s">
        <v>3400</v>
      </c>
      <c r="C4225" t="s">
        <v>3401</v>
      </c>
      <c r="D4225" t="str">
        <f>HYPERLINK("https://rhld.insurance.arkansas.gov/NPILookup?Npi=1568484566","1568484566")</f>
        <v>1568484566</v>
      </c>
      <c r="E4225" t="s">
        <v>3837</v>
      </c>
      <c r="F4225" t="s">
        <v>12</v>
      </c>
      <c r="G4225" s="20">
        <v>1</v>
      </c>
      <c r="H4225" t="s">
        <v>139</v>
      </c>
      <c r="I4225" t="s">
        <v>4357</v>
      </c>
      <c r="J4225" s="9"/>
      <c r="K4225" s="9"/>
      <c r="L4225" s="9"/>
    </row>
    <row r="4226" spans="2:12" ht="15" x14ac:dyDescent="0.25">
      <c r="B4226" t="s">
        <v>3400</v>
      </c>
      <c r="C4226" t="s">
        <v>3401</v>
      </c>
      <c r="D4226" t="str">
        <f>HYPERLINK("https://rhld.insurance.arkansas.gov/NPILookup?Npi=1568495638","1568495638")</f>
        <v>1568495638</v>
      </c>
      <c r="E4226" t="s">
        <v>697</v>
      </c>
      <c r="F4226" t="s">
        <v>13</v>
      </c>
      <c r="G4226" s="20">
        <v>1</v>
      </c>
      <c r="H4226" t="s">
        <v>4357</v>
      </c>
      <c r="I4226" t="s">
        <v>4357</v>
      </c>
      <c r="J4226" s="9"/>
      <c r="K4226" s="9"/>
      <c r="L4226" s="9"/>
    </row>
    <row r="4227" spans="2:12" ht="15" x14ac:dyDescent="0.25">
      <c r="B4227" t="s">
        <v>3400</v>
      </c>
      <c r="C4227" t="s">
        <v>3401</v>
      </c>
      <c r="D4227" t="str">
        <f>HYPERLINK("https://rhld.insurance.arkansas.gov/NPILookup?Npi=1568511491","1568511491")</f>
        <v>1568511491</v>
      </c>
      <c r="E4227" t="s">
        <v>3838</v>
      </c>
      <c r="F4227" t="s">
        <v>13</v>
      </c>
      <c r="G4227" s="20">
        <v>1</v>
      </c>
      <c r="H4227" t="s">
        <v>3403</v>
      </c>
      <c r="I4227" t="s">
        <v>4357</v>
      </c>
      <c r="J4227" s="9"/>
      <c r="K4227" s="9"/>
      <c r="L4227" s="9"/>
    </row>
    <row r="4228" spans="2:12" ht="15" x14ac:dyDescent="0.25">
      <c r="B4228" t="s">
        <v>3400</v>
      </c>
      <c r="C4228" t="s">
        <v>3401</v>
      </c>
      <c r="D4228" t="str">
        <f>HYPERLINK("https://rhld.insurance.arkansas.gov/NPILookup?Npi=1568753903","1568753903")</f>
        <v>1568753903</v>
      </c>
      <c r="E4228" t="s">
        <v>3839</v>
      </c>
      <c r="F4228" t="s">
        <v>12</v>
      </c>
      <c r="G4228" s="20">
        <v>1</v>
      </c>
      <c r="H4228" t="s">
        <v>4338</v>
      </c>
      <c r="I4228" t="s">
        <v>32</v>
      </c>
      <c r="J4228" s="9"/>
      <c r="K4228" s="9"/>
      <c r="L4228" s="9"/>
    </row>
    <row r="4229" spans="2:12" ht="15" x14ac:dyDescent="0.25">
      <c r="B4229" t="s">
        <v>3400</v>
      </c>
      <c r="C4229" t="s">
        <v>3401</v>
      </c>
      <c r="D4229" t="str">
        <f>HYPERLINK("https://rhld.insurance.arkansas.gov/NPILookup?Npi=1568898542","1568898542")</f>
        <v>1568898542</v>
      </c>
      <c r="E4229" t="s">
        <v>2863</v>
      </c>
      <c r="F4229" t="s">
        <v>13</v>
      </c>
      <c r="G4229" s="20">
        <v>1</v>
      </c>
      <c r="H4229" t="s">
        <v>4357</v>
      </c>
      <c r="I4229" t="s">
        <v>4357</v>
      </c>
      <c r="J4229" s="9"/>
      <c r="K4229" s="9"/>
      <c r="L4229" s="9"/>
    </row>
    <row r="4230" spans="2:12" ht="15" x14ac:dyDescent="0.25">
      <c r="B4230" t="s">
        <v>3400</v>
      </c>
      <c r="C4230" t="s">
        <v>3401</v>
      </c>
      <c r="D4230" t="str">
        <f>HYPERLINK("https://rhld.insurance.arkansas.gov/NPILookup?Npi=1578084778","1578084778")</f>
        <v>1578084778</v>
      </c>
      <c r="E4230" t="s">
        <v>3840</v>
      </c>
      <c r="F4230" t="s">
        <v>13</v>
      </c>
      <c r="G4230" s="20">
        <v>1</v>
      </c>
      <c r="H4230" t="s">
        <v>87</v>
      </c>
      <c r="I4230" t="s">
        <v>4357</v>
      </c>
      <c r="J4230" s="9"/>
      <c r="K4230" s="9"/>
      <c r="L4230" s="9"/>
    </row>
    <row r="4231" spans="2:12" ht="15" x14ac:dyDescent="0.25">
      <c r="B4231" t="s">
        <v>3400</v>
      </c>
      <c r="C4231" t="s">
        <v>3401</v>
      </c>
      <c r="D4231" t="str">
        <f>HYPERLINK("https://rhld.insurance.arkansas.gov/NPILookup?Npi=1578101655","1578101655")</f>
        <v>1578101655</v>
      </c>
      <c r="E4231" t="s">
        <v>3841</v>
      </c>
      <c r="F4231" t="s">
        <v>13</v>
      </c>
      <c r="G4231" s="20">
        <v>1</v>
      </c>
      <c r="H4231" t="s">
        <v>3403</v>
      </c>
      <c r="I4231" t="s">
        <v>32</v>
      </c>
      <c r="J4231" s="9"/>
      <c r="K4231" s="9"/>
      <c r="L4231" s="9"/>
    </row>
    <row r="4232" spans="2:12" ht="15" x14ac:dyDescent="0.25">
      <c r="B4232" t="s">
        <v>3400</v>
      </c>
      <c r="C4232" t="s">
        <v>3401</v>
      </c>
      <c r="D4232" t="str">
        <f>HYPERLINK("https://rhld.insurance.arkansas.gov/NPILookup?Npi=1578251757","1578251757")</f>
        <v>1578251757</v>
      </c>
      <c r="E4232" t="s">
        <v>2867</v>
      </c>
      <c r="F4232" t="s">
        <v>13</v>
      </c>
      <c r="G4232" s="20">
        <v>1</v>
      </c>
      <c r="H4232" t="s">
        <v>4357</v>
      </c>
      <c r="I4232" t="s">
        <v>4357</v>
      </c>
      <c r="J4232" s="9"/>
      <c r="K4232" s="9"/>
      <c r="L4232" s="9"/>
    </row>
    <row r="4233" spans="2:12" ht="15" x14ac:dyDescent="0.25">
      <c r="B4233" t="s">
        <v>3400</v>
      </c>
      <c r="C4233" t="s">
        <v>3401</v>
      </c>
      <c r="D4233" t="str">
        <f>HYPERLINK("https://rhld.insurance.arkansas.gov/NPILookup?Npi=1578252276","1578252276")</f>
        <v>1578252276</v>
      </c>
      <c r="E4233" t="s">
        <v>2868</v>
      </c>
      <c r="F4233" t="s">
        <v>13</v>
      </c>
      <c r="G4233" s="20">
        <v>1</v>
      </c>
      <c r="H4233" t="s">
        <v>4357</v>
      </c>
      <c r="I4233" t="s">
        <v>4357</v>
      </c>
      <c r="J4233" s="9"/>
      <c r="K4233" s="9"/>
      <c r="L4233" s="9"/>
    </row>
    <row r="4234" spans="2:12" ht="15" x14ac:dyDescent="0.25">
      <c r="B4234" t="s">
        <v>3400</v>
      </c>
      <c r="C4234" t="s">
        <v>3401</v>
      </c>
      <c r="D4234" t="str">
        <f>HYPERLINK("https://rhld.insurance.arkansas.gov/NPILookup?Npi=1578285383","1578285383")</f>
        <v>1578285383</v>
      </c>
      <c r="E4234" t="s">
        <v>3842</v>
      </c>
      <c r="F4234" t="s">
        <v>12</v>
      </c>
      <c r="G4234" s="20">
        <v>1</v>
      </c>
      <c r="H4234" t="s">
        <v>4338</v>
      </c>
      <c r="I4234" t="s">
        <v>32</v>
      </c>
      <c r="J4234" s="9"/>
      <c r="K4234" s="9"/>
      <c r="L4234" s="9"/>
    </row>
    <row r="4235" spans="2:12" ht="15" x14ac:dyDescent="0.25">
      <c r="B4235" t="s">
        <v>3400</v>
      </c>
      <c r="C4235" t="s">
        <v>3401</v>
      </c>
      <c r="D4235" t="str">
        <f>HYPERLINK("https://rhld.insurance.arkansas.gov/NPILookup?Npi=1578357109","1578357109")</f>
        <v>1578357109</v>
      </c>
      <c r="E4235" t="s">
        <v>2083</v>
      </c>
      <c r="F4235" t="s">
        <v>13</v>
      </c>
      <c r="G4235" s="20">
        <v>1</v>
      </c>
      <c r="H4235" t="s">
        <v>4357</v>
      </c>
      <c r="I4235" t="s">
        <v>4357</v>
      </c>
      <c r="J4235" s="9"/>
      <c r="K4235" s="9"/>
      <c r="L4235" s="9"/>
    </row>
    <row r="4236" spans="2:12" ht="15" x14ac:dyDescent="0.25">
      <c r="B4236" t="s">
        <v>3400</v>
      </c>
      <c r="C4236" t="s">
        <v>3401</v>
      </c>
      <c r="D4236" t="str">
        <f>HYPERLINK("https://rhld.insurance.arkansas.gov/NPILookup?Npi=1578372660","1578372660")</f>
        <v>1578372660</v>
      </c>
      <c r="E4236" t="s">
        <v>2869</v>
      </c>
      <c r="F4236" t="s">
        <v>13</v>
      </c>
      <c r="G4236" s="20">
        <v>1</v>
      </c>
      <c r="H4236" t="s">
        <v>4357</v>
      </c>
      <c r="I4236" t="s">
        <v>4357</v>
      </c>
      <c r="J4236" s="9"/>
      <c r="K4236" s="9"/>
      <c r="L4236" s="9"/>
    </row>
    <row r="4237" spans="2:12" ht="15" x14ac:dyDescent="0.25">
      <c r="B4237" t="s">
        <v>3400</v>
      </c>
      <c r="C4237" t="s">
        <v>3401</v>
      </c>
      <c r="D4237" t="str">
        <f>HYPERLINK("https://rhld.insurance.arkansas.gov/NPILookup?Npi=1578387668","1578387668")</f>
        <v>1578387668</v>
      </c>
      <c r="E4237" t="s">
        <v>2084</v>
      </c>
      <c r="F4237" t="s">
        <v>13</v>
      </c>
      <c r="G4237" s="20">
        <v>1</v>
      </c>
      <c r="H4237" t="s">
        <v>4357</v>
      </c>
      <c r="I4237" t="s">
        <v>4357</v>
      </c>
      <c r="J4237" s="9"/>
      <c r="K4237" s="9"/>
      <c r="L4237" s="9"/>
    </row>
    <row r="4238" spans="2:12" ht="15" x14ac:dyDescent="0.25">
      <c r="B4238" t="s">
        <v>3400</v>
      </c>
      <c r="C4238" t="s">
        <v>3401</v>
      </c>
      <c r="D4238" t="str">
        <f>HYPERLINK("https://rhld.insurance.arkansas.gov/NPILookup?Npi=1578520227","1578520227")</f>
        <v>1578520227</v>
      </c>
      <c r="E4238" t="s">
        <v>2870</v>
      </c>
      <c r="F4238" t="s">
        <v>12</v>
      </c>
      <c r="G4238" s="20">
        <v>1</v>
      </c>
      <c r="H4238" t="s">
        <v>4338</v>
      </c>
      <c r="I4238" t="s">
        <v>32</v>
      </c>
      <c r="J4238" s="9"/>
      <c r="K4238" s="9"/>
      <c r="L4238" s="9"/>
    </row>
    <row r="4239" spans="2:12" ht="15" x14ac:dyDescent="0.25">
      <c r="B4239" t="s">
        <v>3400</v>
      </c>
      <c r="C4239" t="s">
        <v>3401</v>
      </c>
      <c r="D4239" t="str">
        <f>HYPERLINK("https://rhld.insurance.arkansas.gov/NPILookup?Npi=1578524435","1578524435")</f>
        <v>1578524435</v>
      </c>
      <c r="E4239" t="s">
        <v>3843</v>
      </c>
      <c r="F4239" t="s">
        <v>13</v>
      </c>
      <c r="G4239" s="20">
        <v>1</v>
      </c>
      <c r="H4239" t="s">
        <v>3403</v>
      </c>
      <c r="I4239" t="s">
        <v>32</v>
      </c>
      <c r="J4239" s="9"/>
      <c r="K4239" s="9"/>
      <c r="L4239" s="9"/>
    </row>
    <row r="4240" spans="2:12" ht="15" x14ac:dyDescent="0.25">
      <c r="B4240" t="s">
        <v>3400</v>
      </c>
      <c r="C4240" t="s">
        <v>3401</v>
      </c>
      <c r="D4240" t="str">
        <f>HYPERLINK("https://rhld.insurance.arkansas.gov/NPILookup?Npi=1578535092","1578535092")</f>
        <v>1578535092</v>
      </c>
      <c r="E4240" t="s">
        <v>2872</v>
      </c>
      <c r="F4240" t="s">
        <v>13</v>
      </c>
      <c r="G4240" s="20">
        <v>1</v>
      </c>
      <c r="H4240" t="s">
        <v>3403</v>
      </c>
      <c r="I4240" t="s">
        <v>32</v>
      </c>
      <c r="J4240" s="9"/>
      <c r="K4240" s="9"/>
      <c r="L4240" s="9"/>
    </row>
    <row r="4241" spans="2:12" ht="15" x14ac:dyDescent="0.25">
      <c r="B4241" t="s">
        <v>3400</v>
      </c>
      <c r="C4241" t="s">
        <v>3401</v>
      </c>
      <c r="D4241" t="str">
        <f>HYPERLINK("https://rhld.insurance.arkansas.gov/NPILookup?Npi=1578663696","1578663696")</f>
        <v>1578663696</v>
      </c>
      <c r="E4241" t="s">
        <v>3844</v>
      </c>
      <c r="F4241" t="s">
        <v>13</v>
      </c>
      <c r="G4241" s="20">
        <v>1</v>
      </c>
      <c r="H4241" t="s">
        <v>3403</v>
      </c>
      <c r="I4241" t="s">
        <v>32</v>
      </c>
      <c r="J4241" s="9"/>
      <c r="K4241" s="9"/>
      <c r="L4241" s="9"/>
    </row>
    <row r="4242" spans="2:12" ht="15" x14ac:dyDescent="0.25">
      <c r="B4242" t="s">
        <v>3400</v>
      </c>
      <c r="C4242" t="s">
        <v>3401</v>
      </c>
      <c r="D4242" t="str">
        <f>HYPERLINK("https://rhld.insurance.arkansas.gov/NPILookup?Npi=1578673455","1578673455")</f>
        <v>1578673455</v>
      </c>
      <c r="E4242" t="s">
        <v>3845</v>
      </c>
      <c r="F4242" t="s">
        <v>12</v>
      </c>
      <c r="G4242" s="20">
        <v>2</v>
      </c>
      <c r="H4242" t="s">
        <v>4353</v>
      </c>
      <c r="I4242" t="s">
        <v>32</v>
      </c>
      <c r="J4242" s="9"/>
      <c r="K4242" s="9"/>
      <c r="L4242" s="9"/>
    </row>
    <row r="4243" spans="2:12" ht="15" x14ac:dyDescent="0.25">
      <c r="B4243" t="s">
        <v>3400</v>
      </c>
      <c r="C4243" t="s">
        <v>3401</v>
      </c>
      <c r="D4243" t="str">
        <f>HYPERLINK("https://rhld.insurance.arkansas.gov/NPILookup?Npi=1578691135","1578691135")</f>
        <v>1578691135</v>
      </c>
      <c r="E4243" t="s">
        <v>3846</v>
      </c>
      <c r="F4243" t="s">
        <v>13</v>
      </c>
      <c r="G4243" s="20">
        <v>1</v>
      </c>
      <c r="H4243" t="s">
        <v>3403</v>
      </c>
      <c r="I4243" t="s">
        <v>32</v>
      </c>
      <c r="J4243" s="9"/>
      <c r="K4243" s="9"/>
      <c r="L4243" s="9"/>
    </row>
    <row r="4244" spans="2:12" ht="15" x14ac:dyDescent="0.25">
      <c r="B4244" t="s">
        <v>3400</v>
      </c>
      <c r="C4244" t="s">
        <v>3401</v>
      </c>
      <c r="D4244" t="str">
        <f>HYPERLINK("https://rhld.insurance.arkansas.gov/NPILookup?Npi=1578777538","1578777538")</f>
        <v>1578777538</v>
      </c>
      <c r="E4244" t="s">
        <v>3847</v>
      </c>
      <c r="F4244" t="s">
        <v>13</v>
      </c>
      <c r="G4244" s="20">
        <v>1</v>
      </c>
      <c r="H4244" t="s">
        <v>3403</v>
      </c>
      <c r="I4244" t="s">
        <v>32</v>
      </c>
      <c r="J4244" s="9"/>
      <c r="K4244" s="9"/>
      <c r="L4244" s="9"/>
    </row>
    <row r="4245" spans="2:12" ht="15" x14ac:dyDescent="0.25">
      <c r="B4245" t="s">
        <v>3400</v>
      </c>
      <c r="C4245" t="s">
        <v>3401</v>
      </c>
      <c r="D4245" t="str">
        <f>HYPERLINK("https://rhld.insurance.arkansas.gov/NPILookup?Npi=1578792644","1578792644")</f>
        <v>1578792644</v>
      </c>
      <c r="E4245" t="s">
        <v>2875</v>
      </c>
      <c r="F4245" t="s">
        <v>13</v>
      </c>
      <c r="G4245" s="20">
        <v>1</v>
      </c>
      <c r="H4245" t="s">
        <v>3403</v>
      </c>
      <c r="I4245" t="s">
        <v>4357</v>
      </c>
      <c r="J4245" s="9"/>
      <c r="K4245" s="9"/>
      <c r="L4245" s="9"/>
    </row>
    <row r="4246" spans="2:12" ht="15" x14ac:dyDescent="0.25">
      <c r="B4246" t="s">
        <v>3400</v>
      </c>
      <c r="C4246" t="s">
        <v>3401</v>
      </c>
      <c r="D4246" t="str">
        <f>HYPERLINK("https://rhld.insurance.arkansas.gov/NPILookup?Npi=1578911293","1578911293")</f>
        <v>1578911293</v>
      </c>
      <c r="E4246" t="s">
        <v>2876</v>
      </c>
      <c r="F4246" t="s">
        <v>13</v>
      </c>
      <c r="G4246" s="20">
        <v>1</v>
      </c>
      <c r="H4246" t="s">
        <v>4357</v>
      </c>
      <c r="I4246" t="s">
        <v>4357</v>
      </c>
      <c r="J4246" s="9"/>
      <c r="K4246" s="9"/>
      <c r="L4246" s="9"/>
    </row>
    <row r="4247" spans="2:12" ht="15" x14ac:dyDescent="0.25">
      <c r="B4247" t="s">
        <v>3400</v>
      </c>
      <c r="C4247" t="s">
        <v>3401</v>
      </c>
      <c r="D4247" t="str">
        <f>HYPERLINK("https://rhld.insurance.arkansas.gov/NPILookup?Npi=1578956223","1578956223")</f>
        <v>1578956223</v>
      </c>
      <c r="E4247" t="s">
        <v>3848</v>
      </c>
      <c r="F4247" t="s">
        <v>13</v>
      </c>
      <c r="G4247" s="20">
        <v>1</v>
      </c>
      <c r="H4247" t="s">
        <v>3403</v>
      </c>
      <c r="I4247" t="s">
        <v>32</v>
      </c>
      <c r="J4247" s="9"/>
      <c r="K4247" s="9"/>
      <c r="L4247" s="9"/>
    </row>
    <row r="4248" spans="2:12" ht="15" x14ac:dyDescent="0.25">
      <c r="B4248" t="s">
        <v>3400</v>
      </c>
      <c r="C4248" t="s">
        <v>3401</v>
      </c>
      <c r="D4248" t="str">
        <f>HYPERLINK("https://rhld.insurance.arkansas.gov/NPILookup?Npi=1588058895","1588058895")</f>
        <v>1588058895</v>
      </c>
      <c r="E4248" t="s">
        <v>3849</v>
      </c>
      <c r="F4248" t="s">
        <v>13</v>
      </c>
      <c r="G4248" s="20">
        <v>1</v>
      </c>
      <c r="H4248" t="s">
        <v>3403</v>
      </c>
      <c r="I4248" t="s">
        <v>32</v>
      </c>
      <c r="J4248" s="9"/>
      <c r="K4248" s="9"/>
      <c r="L4248" s="9"/>
    </row>
    <row r="4249" spans="2:12" ht="15" x14ac:dyDescent="0.25">
      <c r="B4249" t="s">
        <v>3400</v>
      </c>
      <c r="C4249" t="s">
        <v>3401</v>
      </c>
      <c r="D4249" t="str">
        <f>HYPERLINK("https://rhld.insurance.arkansas.gov/NPILookup?Npi=1588088827","1588088827")</f>
        <v>1588088827</v>
      </c>
      <c r="E4249" t="s">
        <v>3850</v>
      </c>
      <c r="F4249" t="s">
        <v>13</v>
      </c>
      <c r="G4249" s="20">
        <v>1</v>
      </c>
      <c r="H4249" t="s">
        <v>3403</v>
      </c>
      <c r="I4249" t="s">
        <v>4357</v>
      </c>
      <c r="J4249" s="9"/>
      <c r="K4249" s="9"/>
      <c r="L4249" s="9"/>
    </row>
    <row r="4250" spans="2:12" ht="15" x14ac:dyDescent="0.25">
      <c r="B4250" t="s">
        <v>3400</v>
      </c>
      <c r="C4250" t="s">
        <v>3401</v>
      </c>
      <c r="D4250" t="str">
        <f>HYPERLINK("https://rhld.insurance.arkansas.gov/NPILookup?Npi=1588113435","1588113435")</f>
        <v>1588113435</v>
      </c>
      <c r="E4250" t="s">
        <v>2879</v>
      </c>
      <c r="F4250" t="s">
        <v>13</v>
      </c>
      <c r="G4250" s="20">
        <v>1</v>
      </c>
      <c r="H4250" t="s">
        <v>3403</v>
      </c>
      <c r="I4250" t="s">
        <v>4357</v>
      </c>
      <c r="J4250" s="9"/>
      <c r="K4250" s="9"/>
      <c r="L4250" s="9"/>
    </row>
    <row r="4251" spans="2:12" ht="15" x14ac:dyDescent="0.25">
      <c r="B4251" t="s">
        <v>3400</v>
      </c>
      <c r="C4251" t="s">
        <v>3401</v>
      </c>
      <c r="D4251" t="str">
        <f>HYPERLINK("https://rhld.insurance.arkansas.gov/NPILookup?Npi=1588143580","1588143580")</f>
        <v>1588143580</v>
      </c>
      <c r="E4251" t="s">
        <v>2880</v>
      </c>
      <c r="F4251" t="s">
        <v>13</v>
      </c>
      <c r="G4251" s="20">
        <v>1</v>
      </c>
      <c r="H4251" t="s">
        <v>3403</v>
      </c>
      <c r="I4251" t="s">
        <v>4357</v>
      </c>
      <c r="J4251" s="9"/>
      <c r="K4251" s="9"/>
      <c r="L4251" s="9"/>
    </row>
    <row r="4252" spans="2:12" ht="15" x14ac:dyDescent="0.25">
      <c r="B4252" t="s">
        <v>3400</v>
      </c>
      <c r="C4252" t="s">
        <v>3401</v>
      </c>
      <c r="D4252" t="str">
        <f>HYPERLINK("https://rhld.insurance.arkansas.gov/NPILookup?Npi=1588147078","1588147078")</f>
        <v>1588147078</v>
      </c>
      <c r="E4252" t="s">
        <v>2881</v>
      </c>
      <c r="F4252" t="s">
        <v>13</v>
      </c>
      <c r="G4252" s="20">
        <v>1</v>
      </c>
      <c r="H4252" t="s">
        <v>4357</v>
      </c>
      <c r="I4252" t="s">
        <v>4357</v>
      </c>
      <c r="J4252" s="9"/>
      <c r="K4252" s="9"/>
      <c r="L4252" s="9"/>
    </row>
    <row r="4253" spans="2:12" ht="15" x14ac:dyDescent="0.25">
      <c r="B4253" t="s">
        <v>3400</v>
      </c>
      <c r="C4253" t="s">
        <v>3401</v>
      </c>
      <c r="D4253" t="str">
        <f>HYPERLINK("https://rhld.insurance.arkansas.gov/NPILookup?Npi=1588265896","1588265896")</f>
        <v>1588265896</v>
      </c>
      <c r="E4253" t="s">
        <v>2882</v>
      </c>
      <c r="F4253" t="s">
        <v>13</v>
      </c>
      <c r="G4253" s="20">
        <v>1</v>
      </c>
      <c r="H4253" t="s">
        <v>4357</v>
      </c>
      <c r="I4253" t="s">
        <v>32</v>
      </c>
      <c r="J4253" s="9"/>
      <c r="K4253" s="9"/>
      <c r="L4253" s="9"/>
    </row>
    <row r="4254" spans="2:12" ht="15" x14ac:dyDescent="0.25">
      <c r="B4254" t="s">
        <v>3400</v>
      </c>
      <c r="C4254" t="s">
        <v>3401</v>
      </c>
      <c r="D4254" t="str">
        <f>HYPERLINK("https://rhld.insurance.arkansas.gov/NPILookup?Npi=1588293344","1588293344")</f>
        <v>1588293344</v>
      </c>
      <c r="E4254" t="s">
        <v>2883</v>
      </c>
      <c r="F4254" t="s">
        <v>13</v>
      </c>
      <c r="G4254" s="20">
        <v>1</v>
      </c>
      <c r="H4254" t="s">
        <v>4357</v>
      </c>
      <c r="I4254" t="s">
        <v>4357</v>
      </c>
      <c r="J4254" s="9"/>
      <c r="K4254" s="9"/>
      <c r="L4254" s="9"/>
    </row>
    <row r="4255" spans="2:12" ht="15" x14ac:dyDescent="0.25">
      <c r="B4255" t="s">
        <v>3400</v>
      </c>
      <c r="C4255" t="s">
        <v>3401</v>
      </c>
      <c r="D4255" t="str">
        <f>HYPERLINK("https://rhld.insurance.arkansas.gov/NPILookup?Npi=1588434070","1588434070")</f>
        <v>1588434070</v>
      </c>
      <c r="E4255" t="s">
        <v>2085</v>
      </c>
      <c r="F4255" t="s">
        <v>13</v>
      </c>
      <c r="G4255" s="20">
        <v>1</v>
      </c>
      <c r="H4255" t="s">
        <v>4357</v>
      </c>
      <c r="I4255" t="s">
        <v>4357</v>
      </c>
      <c r="J4255" s="9"/>
      <c r="K4255" s="9"/>
      <c r="L4255" s="9"/>
    </row>
    <row r="4256" spans="2:12" ht="15" x14ac:dyDescent="0.25">
      <c r="B4256" t="s">
        <v>3400</v>
      </c>
      <c r="C4256" t="s">
        <v>3401</v>
      </c>
      <c r="D4256" t="str">
        <f>HYPERLINK("https://rhld.insurance.arkansas.gov/NPILookup?Npi=1588698906","1588698906")</f>
        <v>1588698906</v>
      </c>
      <c r="E4256" t="s">
        <v>3851</v>
      </c>
      <c r="F4256" t="s">
        <v>13</v>
      </c>
      <c r="G4256" s="20">
        <v>1</v>
      </c>
      <c r="H4256" t="s">
        <v>3403</v>
      </c>
      <c r="I4256" t="s">
        <v>32</v>
      </c>
      <c r="J4256" s="9"/>
      <c r="K4256" s="9"/>
      <c r="L4256" s="9"/>
    </row>
    <row r="4257" spans="2:12" ht="15" x14ac:dyDescent="0.25">
      <c r="B4257" t="s">
        <v>3400</v>
      </c>
      <c r="C4257" t="s">
        <v>3401</v>
      </c>
      <c r="D4257" t="str">
        <f>HYPERLINK("https://rhld.insurance.arkansas.gov/NPILookup?Npi=1588701288","1588701288")</f>
        <v>1588701288</v>
      </c>
      <c r="E4257" t="s">
        <v>1763</v>
      </c>
      <c r="F4257" t="s">
        <v>13</v>
      </c>
      <c r="G4257" s="20">
        <v>1</v>
      </c>
      <c r="H4257" t="s">
        <v>3403</v>
      </c>
      <c r="I4257" t="s">
        <v>4357</v>
      </c>
      <c r="J4257" s="9"/>
      <c r="K4257" s="9"/>
      <c r="L4257" s="9"/>
    </row>
    <row r="4258" spans="2:12" ht="15" x14ac:dyDescent="0.25">
      <c r="B4258" t="s">
        <v>3400</v>
      </c>
      <c r="C4258" t="s">
        <v>3401</v>
      </c>
      <c r="D4258" t="str">
        <f>HYPERLINK("https://rhld.insurance.arkansas.gov/NPILookup?Npi=1588739783","1588739783")</f>
        <v>1588739783</v>
      </c>
      <c r="E4258" t="s">
        <v>3852</v>
      </c>
      <c r="F4258" t="s">
        <v>12</v>
      </c>
      <c r="G4258" s="20">
        <v>1</v>
      </c>
      <c r="H4258" t="s">
        <v>4338</v>
      </c>
      <c r="I4258" t="s">
        <v>32</v>
      </c>
      <c r="J4258" s="9"/>
      <c r="K4258" s="9"/>
      <c r="L4258" s="9"/>
    </row>
    <row r="4259" spans="2:12" ht="15" x14ac:dyDescent="0.25">
      <c r="B4259" t="s">
        <v>3400</v>
      </c>
      <c r="C4259" t="s">
        <v>3401</v>
      </c>
      <c r="D4259" t="str">
        <f>HYPERLINK("https://rhld.insurance.arkansas.gov/NPILookup?Npi=1588783666","1588783666")</f>
        <v>1588783666</v>
      </c>
      <c r="E4259" t="s">
        <v>3853</v>
      </c>
      <c r="F4259" t="s">
        <v>12</v>
      </c>
      <c r="G4259" s="20">
        <v>1</v>
      </c>
      <c r="H4259" t="s">
        <v>4338</v>
      </c>
      <c r="I4259" t="s">
        <v>32</v>
      </c>
      <c r="J4259" s="9"/>
      <c r="K4259" s="9"/>
      <c r="L4259" s="9"/>
    </row>
    <row r="4260" spans="2:12" ht="15" x14ac:dyDescent="0.25">
      <c r="B4260" t="s">
        <v>3400</v>
      </c>
      <c r="C4260" t="s">
        <v>3401</v>
      </c>
      <c r="D4260" t="str">
        <f>HYPERLINK("https://rhld.insurance.arkansas.gov/NPILookup?Npi=1588826903","1588826903")</f>
        <v>1588826903</v>
      </c>
      <c r="E4260" t="s">
        <v>3854</v>
      </c>
      <c r="F4260" t="s">
        <v>13</v>
      </c>
      <c r="G4260" s="20">
        <v>1</v>
      </c>
      <c r="H4260" t="s">
        <v>3403</v>
      </c>
      <c r="I4260" t="s">
        <v>32</v>
      </c>
      <c r="J4260" s="9"/>
      <c r="K4260" s="9"/>
      <c r="L4260" s="9"/>
    </row>
    <row r="4261" spans="2:12" ht="15" x14ac:dyDescent="0.25">
      <c r="B4261" t="s">
        <v>3400</v>
      </c>
      <c r="C4261" t="s">
        <v>3401</v>
      </c>
      <c r="D4261" t="str">
        <f>HYPERLINK("https://rhld.insurance.arkansas.gov/NPILookup?Npi=1588862445","1588862445")</f>
        <v>1588862445</v>
      </c>
      <c r="E4261" t="s">
        <v>2889</v>
      </c>
      <c r="F4261" t="s">
        <v>12</v>
      </c>
      <c r="G4261" s="20">
        <v>1</v>
      </c>
      <c r="H4261" t="s">
        <v>4338</v>
      </c>
      <c r="I4261" t="s">
        <v>4357</v>
      </c>
      <c r="J4261" s="9"/>
      <c r="K4261" s="9"/>
      <c r="L4261" s="9"/>
    </row>
    <row r="4262" spans="2:12" ht="15" x14ac:dyDescent="0.25">
      <c r="B4262" t="s">
        <v>3400</v>
      </c>
      <c r="C4262" t="s">
        <v>3401</v>
      </c>
      <c r="D4262" t="str">
        <f>HYPERLINK("https://rhld.insurance.arkansas.gov/NPILookup?Npi=1598013815","1598013815")</f>
        <v>1598013815</v>
      </c>
      <c r="E4262" t="s">
        <v>3855</v>
      </c>
      <c r="F4262" t="s">
        <v>13</v>
      </c>
      <c r="G4262" s="20">
        <v>1</v>
      </c>
      <c r="H4262" t="s">
        <v>3403</v>
      </c>
      <c r="I4262" t="s">
        <v>32</v>
      </c>
      <c r="J4262" s="9"/>
      <c r="K4262" s="9"/>
      <c r="L4262" s="9"/>
    </row>
    <row r="4263" spans="2:12" ht="15" x14ac:dyDescent="0.25">
      <c r="B4263" t="s">
        <v>3400</v>
      </c>
      <c r="C4263" t="s">
        <v>3401</v>
      </c>
      <c r="D4263" t="str">
        <f>HYPERLINK("https://rhld.insurance.arkansas.gov/NPILookup?Npi=1598105033","1598105033")</f>
        <v>1598105033</v>
      </c>
      <c r="E4263" t="s">
        <v>2894</v>
      </c>
      <c r="F4263" t="s">
        <v>13</v>
      </c>
      <c r="G4263" s="20">
        <v>1</v>
      </c>
      <c r="H4263" t="s">
        <v>4357</v>
      </c>
      <c r="I4263" t="s">
        <v>4357</v>
      </c>
      <c r="J4263" s="9"/>
      <c r="K4263" s="9"/>
      <c r="L4263" s="9"/>
    </row>
    <row r="4264" spans="2:12" ht="15" x14ac:dyDescent="0.25">
      <c r="B4264" t="s">
        <v>3400</v>
      </c>
      <c r="C4264" t="s">
        <v>3401</v>
      </c>
      <c r="D4264" t="str">
        <f>HYPERLINK("https://rhld.insurance.arkansas.gov/NPILookup?Npi=1598131542","1598131542")</f>
        <v>1598131542</v>
      </c>
      <c r="E4264" t="s">
        <v>2895</v>
      </c>
      <c r="F4264" t="s">
        <v>13</v>
      </c>
      <c r="G4264" s="20">
        <v>1</v>
      </c>
      <c r="H4264" t="s">
        <v>3403</v>
      </c>
      <c r="I4264" t="s">
        <v>4357</v>
      </c>
      <c r="J4264" s="9"/>
      <c r="K4264" s="9"/>
      <c r="L4264" s="9"/>
    </row>
    <row r="4265" spans="2:12" ht="15" x14ac:dyDescent="0.25">
      <c r="B4265" t="s">
        <v>3400</v>
      </c>
      <c r="C4265" t="s">
        <v>3401</v>
      </c>
      <c r="D4265" t="str">
        <f>HYPERLINK("https://rhld.insurance.arkansas.gov/NPILookup?Npi=1598272866","1598272866")</f>
        <v>1598272866</v>
      </c>
      <c r="E4265" t="s">
        <v>3856</v>
      </c>
      <c r="F4265" t="s">
        <v>13</v>
      </c>
      <c r="G4265" s="20">
        <v>1</v>
      </c>
      <c r="H4265" t="s">
        <v>3403</v>
      </c>
      <c r="I4265" t="s">
        <v>32</v>
      </c>
      <c r="J4265" s="9"/>
      <c r="K4265" s="9"/>
      <c r="L4265" s="9"/>
    </row>
    <row r="4266" spans="2:12" ht="15" x14ac:dyDescent="0.25">
      <c r="B4266" t="s">
        <v>3400</v>
      </c>
      <c r="C4266" t="s">
        <v>3401</v>
      </c>
      <c r="D4266" t="str">
        <f>HYPERLINK("https://rhld.insurance.arkansas.gov/NPILookup?Npi=1598282808","1598282808")</f>
        <v>1598282808</v>
      </c>
      <c r="E4266" t="s">
        <v>3857</v>
      </c>
      <c r="F4266" t="s">
        <v>13</v>
      </c>
      <c r="G4266" s="20">
        <v>1</v>
      </c>
      <c r="H4266" t="s">
        <v>87</v>
      </c>
      <c r="I4266" t="s">
        <v>32</v>
      </c>
      <c r="J4266" s="9"/>
      <c r="K4266" s="9"/>
      <c r="L4266" s="9"/>
    </row>
    <row r="4267" spans="2:12" ht="15" x14ac:dyDescent="0.25">
      <c r="B4267" t="s">
        <v>3400</v>
      </c>
      <c r="C4267" t="s">
        <v>3401</v>
      </c>
      <c r="D4267" t="str">
        <f>HYPERLINK("https://rhld.insurance.arkansas.gov/NPILookup?Npi=1598286734","1598286734")</f>
        <v>1598286734</v>
      </c>
      <c r="E4267" t="s">
        <v>3858</v>
      </c>
      <c r="F4267" t="s">
        <v>13</v>
      </c>
      <c r="G4267" s="20">
        <v>1</v>
      </c>
      <c r="H4267" t="s">
        <v>3403</v>
      </c>
      <c r="I4267" t="s">
        <v>4357</v>
      </c>
      <c r="J4267" s="9"/>
      <c r="K4267" s="9"/>
      <c r="L4267" s="9"/>
    </row>
    <row r="4268" spans="2:12" ht="15" x14ac:dyDescent="0.25">
      <c r="B4268" t="s">
        <v>3400</v>
      </c>
      <c r="C4268" t="s">
        <v>3401</v>
      </c>
      <c r="D4268" t="str">
        <f>HYPERLINK("https://rhld.insurance.arkansas.gov/NPILookup?Npi=1598335614","1598335614")</f>
        <v>1598335614</v>
      </c>
      <c r="E4268" t="s">
        <v>2086</v>
      </c>
      <c r="F4268" t="s">
        <v>13</v>
      </c>
      <c r="G4268" s="20">
        <v>1</v>
      </c>
      <c r="H4268" t="s">
        <v>4357</v>
      </c>
      <c r="I4268" t="s">
        <v>4357</v>
      </c>
      <c r="J4268" s="9"/>
      <c r="K4268" s="9"/>
      <c r="L4268" s="9"/>
    </row>
    <row r="4269" spans="2:12" ht="15" x14ac:dyDescent="0.25">
      <c r="B4269" t="s">
        <v>3400</v>
      </c>
      <c r="C4269" t="s">
        <v>3401</v>
      </c>
      <c r="D4269" t="str">
        <f>HYPERLINK("https://rhld.insurance.arkansas.gov/NPILookup?Npi=1598387417","1598387417")</f>
        <v>1598387417</v>
      </c>
      <c r="E4269" t="s">
        <v>3859</v>
      </c>
      <c r="F4269" t="s">
        <v>13</v>
      </c>
      <c r="G4269" s="20">
        <v>1</v>
      </c>
      <c r="H4269" t="s">
        <v>3403</v>
      </c>
      <c r="I4269" t="s">
        <v>32</v>
      </c>
      <c r="J4269" s="9"/>
      <c r="K4269" s="9"/>
      <c r="L4269" s="9"/>
    </row>
    <row r="4270" spans="2:12" ht="15" x14ac:dyDescent="0.25">
      <c r="B4270" t="s">
        <v>3400</v>
      </c>
      <c r="C4270" t="s">
        <v>3401</v>
      </c>
      <c r="D4270" t="str">
        <f>HYPERLINK("https://rhld.insurance.arkansas.gov/NPILookup?Npi=1598420911","1598420911")</f>
        <v>1598420911</v>
      </c>
      <c r="E4270" t="s">
        <v>3860</v>
      </c>
      <c r="F4270" t="s">
        <v>13</v>
      </c>
      <c r="G4270" s="20">
        <v>1</v>
      </c>
      <c r="H4270" t="s">
        <v>3403</v>
      </c>
      <c r="I4270" t="s">
        <v>32</v>
      </c>
      <c r="J4270" s="9">
        <v>54321</v>
      </c>
      <c r="K4270" s="9" t="s">
        <v>23</v>
      </c>
      <c r="L4270" s="9"/>
    </row>
    <row r="4271" spans="2:12" ht="15" x14ac:dyDescent="0.25">
      <c r="B4271" t="s">
        <v>3400</v>
      </c>
      <c r="C4271" t="s">
        <v>3401</v>
      </c>
      <c r="D4271" t="str">
        <f>HYPERLINK("https://rhld.insurance.arkansas.gov/NPILookup?Npi=1598984056","1598984056")</f>
        <v>1598984056</v>
      </c>
      <c r="E4271" t="s">
        <v>3861</v>
      </c>
      <c r="F4271" t="s">
        <v>13</v>
      </c>
      <c r="G4271" s="20">
        <v>1</v>
      </c>
      <c r="H4271" t="s">
        <v>3403</v>
      </c>
      <c r="I4271" t="s">
        <v>32</v>
      </c>
      <c r="J4271" s="9">
        <v>54321</v>
      </c>
      <c r="K4271" s="9" t="s">
        <v>23</v>
      </c>
      <c r="L4271" s="9"/>
    </row>
    <row r="4272" spans="2:12" ht="15" x14ac:dyDescent="0.25">
      <c r="B4272" t="s">
        <v>3400</v>
      </c>
      <c r="C4272" t="s">
        <v>3401</v>
      </c>
      <c r="D4272" t="str">
        <f>HYPERLINK("https://rhld.insurance.arkansas.gov/NPILookup?Npi=1609188614","1609188614")</f>
        <v>1609188614</v>
      </c>
      <c r="E4272" t="s">
        <v>3862</v>
      </c>
      <c r="F4272" t="s">
        <v>13</v>
      </c>
      <c r="G4272" s="20">
        <v>1</v>
      </c>
      <c r="H4272" t="s">
        <v>3403</v>
      </c>
      <c r="I4272" t="s">
        <v>32</v>
      </c>
      <c r="J4272" s="9">
        <v>54321</v>
      </c>
      <c r="K4272" s="9" t="s">
        <v>23</v>
      </c>
      <c r="L4272" s="9"/>
    </row>
    <row r="4273" spans="2:12" ht="15" x14ac:dyDescent="0.25">
      <c r="B4273" t="s">
        <v>3400</v>
      </c>
      <c r="C4273" t="s">
        <v>3401</v>
      </c>
      <c r="D4273" t="str">
        <f>HYPERLINK("https://rhld.insurance.arkansas.gov/NPILookup?Npi=1609281070","1609281070")</f>
        <v>1609281070</v>
      </c>
      <c r="E4273" t="s">
        <v>2905</v>
      </c>
      <c r="F4273" t="s">
        <v>13</v>
      </c>
      <c r="G4273" s="20">
        <v>1</v>
      </c>
      <c r="H4273" t="s">
        <v>3403</v>
      </c>
      <c r="I4273" t="s">
        <v>32</v>
      </c>
      <c r="J4273" s="9">
        <v>54321</v>
      </c>
      <c r="K4273" s="9" t="s">
        <v>23</v>
      </c>
      <c r="L4273" s="9"/>
    </row>
    <row r="4274" spans="2:12" ht="15" x14ac:dyDescent="0.25">
      <c r="B4274" t="s">
        <v>3400</v>
      </c>
      <c r="C4274" t="s">
        <v>3401</v>
      </c>
      <c r="D4274" t="str">
        <f>HYPERLINK("https://rhld.insurance.arkansas.gov/NPILookup?Npi=1609302546","1609302546")</f>
        <v>1609302546</v>
      </c>
      <c r="E4274" t="s">
        <v>3863</v>
      </c>
      <c r="F4274" t="s">
        <v>13</v>
      </c>
      <c r="G4274" s="20">
        <v>1</v>
      </c>
      <c r="H4274" t="s">
        <v>3403</v>
      </c>
      <c r="I4274" t="s">
        <v>4357</v>
      </c>
      <c r="J4274" s="9">
        <v>54321</v>
      </c>
      <c r="K4274" s="9" t="s">
        <v>23</v>
      </c>
      <c r="L4274" s="9"/>
    </row>
    <row r="4275" spans="2:12" ht="15" x14ac:dyDescent="0.25">
      <c r="B4275" t="s">
        <v>3400</v>
      </c>
      <c r="C4275" t="s">
        <v>3401</v>
      </c>
      <c r="D4275" t="str">
        <f>HYPERLINK("https://rhld.insurance.arkansas.gov/NPILookup?Npi=1609304526","1609304526")</f>
        <v>1609304526</v>
      </c>
      <c r="E4275" t="s">
        <v>3864</v>
      </c>
      <c r="F4275" t="s">
        <v>13</v>
      </c>
      <c r="G4275" s="20">
        <v>1</v>
      </c>
      <c r="H4275" t="s">
        <v>3403</v>
      </c>
      <c r="I4275" t="s">
        <v>32</v>
      </c>
      <c r="J4275" s="9">
        <v>54321</v>
      </c>
      <c r="K4275" s="9" t="s">
        <v>23</v>
      </c>
      <c r="L4275" s="9"/>
    </row>
    <row r="4276" spans="2:12" ht="15" x14ac:dyDescent="0.25">
      <c r="B4276" t="s">
        <v>3400</v>
      </c>
      <c r="C4276" t="s">
        <v>3401</v>
      </c>
      <c r="D4276" t="str">
        <f>HYPERLINK("https://rhld.insurance.arkansas.gov/NPILookup?Npi=1609333806","1609333806")</f>
        <v>1609333806</v>
      </c>
      <c r="E4276" t="s">
        <v>3865</v>
      </c>
      <c r="F4276" t="s">
        <v>13</v>
      </c>
      <c r="G4276" s="20">
        <v>1</v>
      </c>
      <c r="H4276" t="s">
        <v>3403</v>
      </c>
      <c r="I4276" t="s">
        <v>32</v>
      </c>
      <c r="J4276" s="9">
        <v>54321</v>
      </c>
      <c r="K4276" s="9" t="s">
        <v>23</v>
      </c>
      <c r="L4276" s="9"/>
    </row>
    <row r="4277" spans="2:12" ht="15" x14ac:dyDescent="0.25">
      <c r="B4277" t="s">
        <v>3400</v>
      </c>
      <c r="C4277" t="s">
        <v>3401</v>
      </c>
      <c r="D4277" t="str">
        <f>HYPERLINK("https://rhld.insurance.arkansas.gov/NPILookup?Npi=1609358928","1609358928")</f>
        <v>1609358928</v>
      </c>
      <c r="E4277" t="s">
        <v>3866</v>
      </c>
      <c r="F4277" t="s">
        <v>13</v>
      </c>
      <c r="G4277" s="20">
        <v>1</v>
      </c>
      <c r="H4277" t="s">
        <v>3403</v>
      </c>
      <c r="I4277" t="s">
        <v>32</v>
      </c>
      <c r="J4277" s="9">
        <v>54321</v>
      </c>
      <c r="K4277" s="9" t="s">
        <v>23</v>
      </c>
      <c r="L4277" s="9"/>
    </row>
    <row r="4278" spans="2:12" ht="15" x14ac:dyDescent="0.25">
      <c r="B4278" t="s">
        <v>3400</v>
      </c>
      <c r="C4278" t="s">
        <v>3401</v>
      </c>
      <c r="D4278" t="str">
        <f>HYPERLINK("https://rhld.insurance.arkansas.gov/NPILookup?Npi=1609445923","1609445923")</f>
        <v>1609445923</v>
      </c>
      <c r="E4278" t="s">
        <v>3867</v>
      </c>
      <c r="F4278" t="s">
        <v>13</v>
      </c>
      <c r="G4278" s="20">
        <v>1</v>
      </c>
      <c r="H4278" t="s">
        <v>3403</v>
      </c>
      <c r="I4278" t="s">
        <v>4357</v>
      </c>
      <c r="J4278" s="9">
        <v>54321</v>
      </c>
      <c r="K4278" s="9" t="s">
        <v>23</v>
      </c>
      <c r="L4278" s="9"/>
    </row>
    <row r="4279" spans="2:12" ht="15" x14ac:dyDescent="0.25">
      <c r="B4279" t="s">
        <v>3400</v>
      </c>
      <c r="C4279" t="s">
        <v>3401</v>
      </c>
      <c r="D4279" t="str">
        <f>HYPERLINK("https://rhld.insurance.arkansas.gov/NPILookup?Npi=1609450782","1609450782")</f>
        <v>1609450782</v>
      </c>
      <c r="E4279" t="s">
        <v>3868</v>
      </c>
      <c r="F4279" t="s">
        <v>13</v>
      </c>
      <c r="G4279" s="20">
        <v>1</v>
      </c>
      <c r="H4279" t="s">
        <v>3403</v>
      </c>
      <c r="I4279" t="s">
        <v>4357</v>
      </c>
      <c r="J4279" s="9">
        <v>54321</v>
      </c>
      <c r="K4279" s="9" t="s">
        <v>23</v>
      </c>
      <c r="L4279" s="9"/>
    </row>
    <row r="4280" spans="2:12" ht="15" x14ac:dyDescent="0.25">
      <c r="B4280" t="s">
        <v>3400</v>
      </c>
      <c r="C4280" t="s">
        <v>3401</v>
      </c>
      <c r="D4280" t="str">
        <f>HYPERLINK("https://rhld.insurance.arkansas.gov/NPILookup?Npi=1609459932","1609459932")</f>
        <v>1609459932</v>
      </c>
      <c r="E4280" t="s">
        <v>3869</v>
      </c>
      <c r="F4280" t="s">
        <v>13</v>
      </c>
      <c r="G4280" s="20">
        <v>1</v>
      </c>
      <c r="H4280" t="s">
        <v>3403</v>
      </c>
      <c r="I4280" t="s">
        <v>4357</v>
      </c>
      <c r="J4280" s="9">
        <v>54321</v>
      </c>
      <c r="K4280" s="9" t="s">
        <v>23</v>
      </c>
      <c r="L4280" s="9"/>
    </row>
    <row r="4281" spans="2:12" ht="15" x14ac:dyDescent="0.25">
      <c r="B4281" t="s">
        <v>3400</v>
      </c>
      <c r="C4281" t="s">
        <v>3401</v>
      </c>
      <c r="D4281" t="str">
        <f>HYPERLINK("https://rhld.insurance.arkansas.gov/NPILookup?Npi=1609466473","1609466473")</f>
        <v>1609466473</v>
      </c>
      <c r="E4281" t="s">
        <v>3870</v>
      </c>
      <c r="F4281" t="s">
        <v>13</v>
      </c>
      <c r="G4281" s="20">
        <v>1</v>
      </c>
      <c r="H4281" t="s">
        <v>3403</v>
      </c>
      <c r="I4281" t="s">
        <v>32</v>
      </c>
      <c r="J4281" s="9">
        <v>54321</v>
      </c>
      <c r="K4281" s="9" t="s">
        <v>23</v>
      </c>
      <c r="L4281" s="9"/>
    </row>
    <row r="4282" spans="2:12" ht="15" x14ac:dyDescent="0.25">
      <c r="B4282" t="s">
        <v>3400</v>
      </c>
      <c r="C4282" t="s">
        <v>3401</v>
      </c>
      <c r="D4282" t="str">
        <f>HYPERLINK("https://rhld.insurance.arkansas.gov/NPILookup?Npi=1609504430","1609504430")</f>
        <v>1609504430</v>
      </c>
      <c r="E4282" t="s">
        <v>3871</v>
      </c>
      <c r="F4282" t="s">
        <v>13</v>
      </c>
      <c r="G4282" s="20">
        <v>1</v>
      </c>
      <c r="H4282" t="s">
        <v>3403</v>
      </c>
      <c r="I4282" t="s">
        <v>32</v>
      </c>
      <c r="J4282" s="9">
        <v>54321</v>
      </c>
      <c r="K4282" s="9" t="s">
        <v>4639</v>
      </c>
      <c r="L4282" s="9"/>
    </row>
    <row r="4283" spans="2:12" ht="15" x14ac:dyDescent="0.25">
      <c r="B4283" t="s">
        <v>3400</v>
      </c>
      <c r="C4283" t="s">
        <v>3401</v>
      </c>
      <c r="D4283" t="str">
        <f>HYPERLINK("https://rhld.insurance.arkansas.gov/NPILookup?Npi=1609638378","1609638378")</f>
        <v>1609638378</v>
      </c>
      <c r="E4283" t="s">
        <v>3872</v>
      </c>
      <c r="F4283" t="s">
        <v>13</v>
      </c>
      <c r="G4283" s="20">
        <v>1</v>
      </c>
      <c r="H4283" t="s">
        <v>3403</v>
      </c>
      <c r="I4283" t="s">
        <v>32</v>
      </c>
      <c r="J4283" s="9">
        <v>54321</v>
      </c>
      <c r="K4283" s="9" t="s">
        <v>23</v>
      </c>
      <c r="L4283" s="9"/>
    </row>
    <row r="4284" spans="2:12" ht="15" x14ac:dyDescent="0.25">
      <c r="B4284" t="s">
        <v>3400</v>
      </c>
      <c r="C4284" t="s">
        <v>3401</v>
      </c>
      <c r="D4284" t="str">
        <f>HYPERLINK("https://rhld.insurance.arkansas.gov/NPILookup?Npi=1609647015","1609647015")</f>
        <v>1609647015</v>
      </c>
      <c r="E4284" t="s">
        <v>2908</v>
      </c>
      <c r="F4284" t="s">
        <v>13</v>
      </c>
      <c r="G4284" s="20">
        <v>1</v>
      </c>
      <c r="H4284" t="s">
        <v>4357</v>
      </c>
      <c r="I4284" t="s">
        <v>4357</v>
      </c>
      <c r="J4284" s="9">
        <v>54321</v>
      </c>
      <c r="K4284" s="9" t="s">
        <v>22</v>
      </c>
      <c r="L4284" s="9" t="s">
        <v>4640</v>
      </c>
    </row>
    <row r="4285" spans="2:12" ht="15" x14ac:dyDescent="0.25">
      <c r="B4285" t="s">
        <v>3400</v>
      </c>
      <c r="C4285" t="s">
        <v>3401</v>
      </c>
      <c r="D4285" t="str">
        <f>HYPERLINK("https://rhld.insurance.arkansas.gov/NPILookup?Npi=1609882497","1609882497")</f>
        <v>1609882497</v>
      </c>
      <c r="E4285" t="s">
        <v>3873</v>
      </c>
      <c r="F4285" t="s">
        <v>13</v>
      </c>
      <c r="G4285" s="20">
        <v>1</v>
      </c>
      <c r="H4285" t="s">
        <v>3403</v>
      </c>
      <c r="I4285" t="s">
        <v>32</v>
      </c>
      <c r="J4285" s="9">
        <v>54321</v>
      </c>
      <c r="K4285" s="9" t="s">
        <v>23</v>
      </c>
      <c r="L4285" s="9"/>
    </row>
    <row r="4286" spans="2:12" ht="15" x14ac:dyDescent="0.25">
      <c r="B4286" t="s">
        <v>3400</v>
      </c>
      <c r="C4286" t="s">
        <v>3401</v>
      </c>
      <c r="D4286" t="str">
        <f>HYPERLINK("https://rhld.insurance.arkansas.gov/NPILookup?Npi=1609898006","1609898006")</f>
        <v>1609898006</v>
      </c>
      <c r="E4286" t="s">
        <v>3874</v>
      </c>
      <c r="F4286" t="s">
        <v>12</v>
      </c>
      <c r="G4286" s="20">
        <v>1</v>
      </c>
      <c r="H4286" t="s">
        <v>4338</v>
      </c>
      <c r="I4286" t="s">
        <v>32</v>
      </c>
      <c r="J4286" s="9">
        <v>54321</v>
      </c>
      <c r="K4286" s="9" t="s">
        <v>23</v>
      </c>
      <c r="L4286" s="9"/>
    </row>
    <row r="4287" spans="2:12" ht="15" x14ac:dyDescent="0.25">
      <c r="B4287" t="s">
        <v>3400</v>
      </c>
      <c r="C4287" t="s">
        <v>3401</v>
      </c>
      <c r="D4287" t="str">
        <f>HYPERLINK("https://rhld.insurance.arkansas.gov/NPILookup?Npi=1619049384","1619049384")</f>
        <v>1619049384</v>
      </c>
      <c r="E4287" t="s">
        <v>3875</v>
      </c>
      <c r="F4287" t="s">
        <v>13</v>
      </c>
      <c r="G4287" s="20">
        <v>1</v>
      </c>
      <c r="H4287" t="s">
        <v>3403</v>
      </c>
      <c r="I4287" t="s">
        <v>32</v>
      </c>
      <c r="J4287" s="9">
        <v>54321</v>
      </c>
      <c r="K4287" s="9" t="s">
        <v>23</v>
      </c>
      <c r="L4287" s="9"/>
    </row>
    <row r="4288" spans="2:12" ht="15" x14ac:dyDescent="0.25">
      <c r="B4288" t="s">
        <v>3400</v>
      </c>
      <c r="C4288" t="s">
        <v>3401</v>
      </c>
      <c r="D4288" t="str">
        <f>HYPERLINK("https://rhld.insurance.arkansas.gov/NPILookup?Npi=1619067279","1619067279")</f>
        <v>1619067279</v>
      </c>
      <c r="E4288" t="s">
        <v>3876</v>
      </c>
      <c r="F4288" t="s">
        <v>12</v>
      </c>
      <c r="G4288" s="20">
        <v>1</v>
      </c>
      <c r="H4288" t="s">
        <v>4338</v>
      </c>
      <c r="I4288" t="s">
        <v>32</v>
      </c>
      <c r="J4288" s="9">
        <v>54321</v>
      </c>
      <c r="K4288" s="9" t="s">
        <v>23</v>
      </c>
      <c r="L4288" s="9"/>
    </row>
    <row r="4289" spans="2:12" ht="15" x14ac:dyDescent="0.25">
      <c r="B4289" t="s">
        <v>3400</v>
      </c>
      <c r="C4289" t="s">
        <v>3401</v>
      </c>
      <c r="D4289" t="str">
        <f>HYPERLINK("https://rhld.insurance.arkansas.gov/NPILookup?Npi=1619136306","1619136306")</f>
        <v>1619136306</v>
      </c>
      <c r="E4289" t="s">
        <v>2911</v>
      </c>
      <c r="F4289" t="s">
        <v>13</v>
      </c>
      <c r="G4289" s="20">
        <v>1</v>
      </c>
      <c r="H4289" t="s">
        <v>3403</v>
      </c>
      <c r="I4289" t="s">
        <v>4357</v>
      </c>
      <c r="J4289" s="9">
        <v>54321</v>
      </c>
      <c r="K4289" s="9" t="s">
        <v>22</v>
      </c>
      <c r="L4289" s="9" t="s">
        <v>4640</v>
      </c>
    </row>
    <row r="4290" spans="2:12" ht="15" x14ac:dyDescent="0.25">
      <c r="B4290" t="s">
        <v>3400</v>
      </c>
      <c r="C4290" t="s">
        <v>3401</v>
      </c>
      <c r="D4290" t="str">
        <f>HYPERLINK("https://rhld.insurance.arkansas.gov/NPILookup?Npi=1619297801","1619297801")</f>
        <v>1619297801</v>
      </c>
      <c r="E4290" t="s">
        <v>3877</v>
      </c>
      <c r="F4290" t="s">
        <v>13</v>
      </c>
      <c r="G4290" s="20">
        <v>1</v>
      </c>
      <c r="H4290" t="s">
        <v>3403</v>
      </c>
      <c r="I4290" t="s">
        <v>32</v>
      </c>
      <c r="J4290" s="9">
        <v>54321</v>
      </c>
      <c r="K4290" s="9" t="s">
        <v>23</v>
      </c>
      <c r="L4290" s="9"/>
    </row>
    <row r="4291" spans="2:12" ht="15" x14ac:dyDescent="0.25">
      <c r="B4291" t="s">
        <v>3400</v>
      </c>
      <c r="C4291" t="s">
        <v>3401</v>
      </c>
      <c r="D4291" t="str">
        <f>HYPERLINK("https://rhld.insurance.arkansas.gov/NPILookup?Npi=1619354818","1619354818")</f>
        <v>1619354818</v>
      </c>
      <c r="E4291" t="s">
        <v>3878</v>
      </c>
      <c r="F4291" t="s">
        <v>13</v>
      </c>
      <c r="G4291" s="20">
        <v>1</v>
      </c>
      <c r="H4291" t="s">
        <v>3403</v>
      </c>
      <c r="I4291" t="s">
        <v>32</v>
      </c>
      <c r="J4291" s="9">
        <v>54321</v>
      </c>
      <c r="K4291" s="9" t="s">
        <v>23</v>
      </c>
      <c r="L4291" s="9"/>
    </row>
    <row r="4292" spans="2:12" ht="15" x14ac:dyDescent="0.25">
      <c r="B4292" t="s">
        <v>3400</v>
      </c>
      <c r="C4292" t="s">
        <v>3401</v>
      </c>
      <c r="D4292" t="str">
        <f>HYPERLINK("https://rhld.insurance.arkansas.gov/NPILookup?Npi=1619381902","1619381902")</f>
        <v>1619381902</v>
      </c>
      <c r="E4292" t="s">
        <v>2914</v>
      </c>
      <c r="F4292" t="s">
        <v>13</v>
      </c>
      <c r="G4292" s="20">
        <v>1</v>
      </c>
      <c r="H4292" t="s">
        <v>3403</v>
      </c>
      <c r="I4292" t="s">
        <v>4357</v>
      </c>
      <c r="J4292" s="9">
        <v>54321</v>
      </c>
      <c r="K4292" s="9" t="s">
        <v>23</v>
      </c>
      <c r="L4292" s="9"/>
    </row>
    <row r="4293" spans="2:12" ht="15" x14ac:dyDescent="0.25">
      <c r="B4293" t="s">
        <v>3400</v>
      </c>
      <c r="C4293" t="s">
        <v>3401</v>
      </c>
      <c r="D4293" t="str">
        <f>HYPERLINK("https://rhld.insurance.arkansas.gov/NPILookup?Npi=1619404563","1619404563")</f>
        <v>1619404563</v>
      </c>
      <c r="E4293" t="s">
        <v>3879</v>
      </c>
      <c r="F4293" t="s">
        <v>12</v>
      </c>
      <c r="G4293" s="20">
        <v>1</v>
      </c>
      <c r="H4293" t="s">
        <v>4338</v>
      </c>
      <c r="I4293" t="s">
        <v>32</v>
      </c>
      <c r="J4293" s="9">
        <v>54321</v>
      </c>
      <c r="K4293" s="9" t="s">
        <v>23</v>
      </c>
      <c r="L4293" s="9"/>
    </row>
    <row r="4294" spans="2:12" ht="15" x14ac:dyDescent="0.25">
      <c r="B4294" t="s">
        <v>3400</v>
      </c>
      <c r="C4294" t="s">
        <v>3401</v>
      </c>
      <c r="D4294" t="str">
        <f>HYPERLINK("https://rhld.insurance.arkansas.gov/NPILookup?Npi=1619445632","1619445632")</f>
        <v>1619445632</v>
      </c>
      <c r="E4294" t="s">
        <v>3880</v>
      </c>
      <c r="F4294" t="s">
        <v>13</v>
      </c>
      <c r="G4294" s="20">
        <v>1</v>
      </c>
      <c r="H4294" t="s">
        <v>3403</v>
      </c>
      <c r="I4294" t="s">
        <v>32</v>
      </c>
      <c r="J4294" s="9">
        <v>54321</v>
      </c>
      <c r="K4294" s="9" t="s">
        <v>4641</v>
      </c>
      <c r="L4294" s="9"/>
    </row>
    <row r="4295" spans="2:12" ht="15" x14ac:dyDescent="0.25">
      <c r="B4295" t="s">
        <v>3400</v>
      </c>
      <c r="C4295" t="s">
        <v>3401</v>
      </c>
      <c r="D4295" t="str">
        <f>HYPERLINK("https://rhld.insurance.arkansas.gov/NPILookup?Npi=1619609633","1619609633")</f>
        <v>1619609633</v>
      </c>
      <c r="E4295" t="s">
        <v>2917</v>
      </c>
      <c r="F4295" t="s">
        <v>13</v>
      </c>
      <c r="G4295" s="20">
        <v>1</v>
      </c>
      <c r="H4295" t="s">
        <v>3403</v>
      </c>
      <c r="I4295" t="s">
        <v>4357</v>
      </c>
      <c r="J4295" s="9">
        <v>54321</v>
      </c>
      <c r="K4295" s="9" t="s">
        <v>23</v>
      </c>
      <c r="L4295" s="9"/>
    </row>
    <row r="4296" spans="2:12" ht="15" x14ac:dyDescent="0.25">
      <c r="B4296" t="s">
        <v>3400</v>
      </c>
      <c r="C4296" t="s">
        <v>3401</v>
      </c>
      <c r="D4296" t="str">
        <f>HYPERLINK("https://rhld.insurance.arkansas.gov/NPILookup?Npi=1619618105","1619618105")</f>
        <v>1619618105</v>
      </c>
      <c r="E4296" t="s">
        <v>2918</v>
      </c>
      <c r="F4296" t="s">
        <v>13</v>
      </c>
      <c r="G4296" s="20">
        <v>1</v>
      </c>
      <c r="H4296" t="s">
        <v>3403</v>
      </c>
      <c r="I4296" t="s">
        <v>4357</v>
      </c>
      <c r="J4296" s="9">
        <v>54321</v>
      </c>
      <c r="K4296" s="9" t="s">
        <v>23</v>
      </c>
      <c r="L4296" s="9"/>
    </row>
    <row r="4297" spans="2:12" ht="15" x14ac:dyDescent="0.25">
      <c r="B4297" t="s">
        <v>3400</v>
      </c>
      <c r="C4297" t="s">
        <v>3401</v>
      </c>
      <c r="D4297" t="str">
        <f>HYPERLINK("https://rhld.insurance.arkansas.gov/NPILookup?Npi=1619775939","1619775939")</f>
        <v>1619775939</v>
      </c>
      <c r="E4297" t="s">
        <v>2087</v>
      </c>
      <c r="F4297" t="s">
        <v>13</v>
      </c>
      <c r="G4297" s="20">
        <v>1</v>
      </c>
      <c r="H4297" t="s">
        <v>4357</v>
      </c>
      <c r="I4297" t="s">
        <v>4357</v>
      </c>
      <c r="J4297" s="9">
        <v>54321</v>
      </c>
      <c r="K4297" s="9" t="s">
        <v>23</v>
      </c>
      <c r="L4297" s="9"/>
    </row>
    <row r="4298" spans="2:12" ht="15" x14ac:dyDescent="0.25">
      <c r="B4298" t="s">
        <v>3400</v>
      </c>
      <c r="C4298" t="s">
        <v>3401</v>
      </c>
      <c r="D4298" t="str">
        <f>HYPERLINK("https://rhld.insurance.arkansas.gov/NPILookup?Npi=1619939204","1619939204")</f>
        <v>1619939204</v>
      </c>
      <c r="E4298" t="s">
        <v>3881</v>
      </c>
      <c r="F4298" t="s">
        <v>12</v>
      </c>
      <c r="G4298" s="20">
        <v>1</v>
      </c>
      <c r="H4298" t="s">
        <v>4338</v>
      </c>
      <c r="I4298" t="s">
        <v>4357</v>
      </c>
      <c r="J4298" s="9">
        <v>54321</v>
      </c>
      <c r="K4298" s="9" t="s">
        <v>23</v>
      </c>
      <c r="L4298" s="9"/>
    </row>
    <row r="4299" spans="2:12" ht="15" x14ac:dyDescent="0.25">
      <c r="B4299" t="s">
        <v>3400</v>
      </c>
      <c r="C4299" t="s">
        <v>3401</v>
      </c>
      <c r="D4299" t="str">
        <f>HYPERLINK("https://rhld.insurance.arkansas.gov/NPILookup?Npi=1619961646","1619961646")</f>
        <v>1619961646</v>
      </c>
      <c r="E4299" t="s">
        <v>3882</v>
      </c>
      <c r="F4299" t="s">
        <v>13</v>
      </c>
      <c r="G4299" s="20">
        <v>1</v>
      </c>
      <c r="H4299" t="s">
        <v>87</v>
      </c>
      <c r="I4299" t="s">
        <v>32</v>
      </c>
      <c r="J4299" s="9">
        <v>54321</v>
      </c>
      <c r="K4299" s="9" t="s">
        <v>23</v>
      </c>
      <c r="L4299" s="9"/>
    </row>
    <row r="4300" spans="2:12" ht="15" x14ac:dyDescent="0.25">
      <c r="B4300" t="s">
        <v>3400</v>
      </c>
      <c r="C4300" t="s">
        <v>3401</v>
      </c>
      <c r="D4300" t="str">
        <f>HYPERLINK("https://rhld.insurance.arkansas.gov/NPILookup?Npi=1629037585","1629037585")</f>
        <v>1629037585</v>
      </c>
      <c r="E4300" t="s">
        <v>3883</v>
      </c>
      <c r="F4300" t="s">
        <v>13</v>
      </c>
      <c r="G4300" s="20">
        <v>1</v>
      </c>
      <c r="H4300" t="s">
        <v>3403</v>
      </c>
      <c r="I4300" t="s">
        <v>32</v>
      </c>
      <c r="J4300" s="9">
        <v>54321</v>
      </c>
      <c r="K4300" s="9" t="s">
        <v>4639</v>
      </c>
      <c r="L4300" s="9"/>
    </row>
    <row r="4301" spans="2:12" ht="15" x14ac:dyDescent="0.25">
      <c r="B4301" t="s">
        <v>3400</v>
      </c>
      <c r="C4301" t="s">
        <v>3401</v>
      </c>
      <c r="D4301" t="str">
        <f>HYPERLINK("https://rhld.insurance.arkansas.gov/NPILookup?Npi=1629203005","1629203005")</f>
        <v>1629203005</v>
      </c>
      <c r="E4301" t="s">
        <v>2923</v>
      </c>
      <c r="F4301" t="s">
        <v>13</v>
      </c>
      <c r="G4301" s="20">
        <v>1</v>
      </c>
      <c r="H4301" t="s">
        <v>4357</v>
      </c>
      <c r="I4301" t="s">
        <v>4357</v>
      </c>
      <c r="J4301" s="9">
        <v>54321</v>
      </c>
      <c r="K4301" s="9" t="s">
        <v>4641</v>
      </c>
      <c r="L4301" s="9"/>
    </row>
    <row r="4302" spans="2:12" ht="15" x14ac:dyDescent="0.25">
      <c r="B4302" t="s">
        <v>3400</v>
      </c>
      <c r="C4302" t="s">
        <v>3401</v>
      </c>
      <c r="D4302" t="str">
        <f>HYPERLINK("https://rhld.insurance.arkansas.gov/NPILookup?Npi=1629238795","1629238795")</f>
        <v>1629238795</v>
      </c>
      <c r="E4302" t="s">
        <v>3884</v>
      </c>
      <c r="F4302" t="s">
        <v>13</v>
      </c>
      <c r="G4302" s="20">
        <v>1</v>
      </c>
      <c r="H4302" t="s">
        <v>3403</v>
      </c>
      <c r="I4302" t="s">
        <v>32</v>
      </c>
      <c r="J4302" s="9">
        <v>54321</v>
      </c>
      <c r="K4302" s="9" t="s">
        <v>23</v>
      </c>
      <c r="L4302" s="9"/>
    </row>
    <row r="4303" spans="2:12" ht="15" x14ac:dyDescent="0.25">
      <c r="B4303" t="s">
        <v>3400</v>
      </c>
      <c r="C4303" t="s">
        <v>3401</v>
      </c>
      <c r="D4303" t="str">
        <f>HYPERLINK("https://rhld.insurance.arkansas.gov/NPILookup?Npi=1629301106","1629301106")</f>
        <v>1629301106</v>
      </c>
      <c r="E4303" t="s">
        <v>3885</v>
      </c>
      <c r="F4303" t="s">
        <v>13</v>
      </c>
      <c r="G4303" s="20">
        <v>1</v>
      </c>
      <c r="H4303" t="s">
        <v>3403</v>
      </c>
      <c r="I4303" t="s">
        <v>4357</v>
      </c>
      <c r="J4303" s="9">
        <v>54321</v>
      </c>
      <c r="K4303" s="9" t="s">
        <v>23</v>
      </c>
      <c r="L4303" s="9"/>
    </row>
    <row r="4304" spans="2:12" ht="15" x14ac:dyDescent="0.25">
      <c r="B4304" t="s">
        <v>3400</v>
      </c>
      <c r="C4304" t="s">
        <v>3401</v>
      </c>
      <c r="D4304" t="str">
        <f>HYPERLINK("https://rhld.insurance.arkansas.gov/NPILookup?Npi=1629336078","1629336078")</f>
        <v>1629336078</v>
      </c>
      <c r="E4304" t="s">
        <v>3886</v>
      </c>
      <c r="F4304" t="s">
        <v>12</v>
      </c>
      <c r="G4304" s="20">
        <v>1</v>
      </c>
      <c r="H4304" t="s">
        <v>4338</v>
      </c>
      <c r="I4304" t="s">
        <v>32</v>
      </c>
      <c r="J4304" s="9">
        <v>54321</v>
      </c>
      <c r="K4304" s="9" t="s">
        <v>23</v>
      </c>
      <c r="L4304" s="9"/>
    </row>
    <row r="4305" spans="2:12" ht="15" x14ac:dyDescent="0.25">
      <c r="B4305" t="s">
        <v>3400</v>
      </c>
      <c r="C4305" t="s">
        <v>3401</v>
      </c>
      <c r="D4305" t="str">
        <f>HYPERLINK("https://rhld.insurance.arkansas.gov/NPILookup?Npi=1629369475","1629369475")</f>
        <v>1629369475</v>
      </c>
      <c r="E4305" t="s">
        <v>3887</v>
      </c>
      <c r="F4305" t="s">
        <v>12</v>
      </c>
      <c r="G4305" s="20">
        <v>1</v>
      </c>
      <c r="H4305" t="s">
        <v>139</v>
      </c>
      <c r="I4305" t="s">
        <v>4357</v>
      </c>
      <c r="J4305" s="9">
        <v>54321</v>
      </c>
      <c r="K4305" s="9" t="s">
        <v>22</v>
      </c>
      <c r="L4305" s="9" t="s">
        <v>4640</v>
      </c>
    </row>
    <row r="4306" spans="2:12" ht="15" x14ac:dyDescent="0.25">
      <c r="B4306" t="s">
        <v>3400</v>
      </c>
      <c r="C4306" t="s">
        <v>3401</v>
      </c>
      <c r="D4306" t="str">
        <f>HYPERLINK("https://rhld.insurance.arkansas.gov/NPILookup?Npi=1629418553","1629418553")</f>
        <v>1629418553</v>
      </c>
      <c r="E4306" t="s">
        <v>3888</v>
      </c>
      <c r="F4306" t="s">
        <v>13</v>
      </c>
      <c r="G4306" s="20">
        <v>1</v>
      </c>
      <c r="H4306" t="s">
        <v>3403</v>
      </c>
      <c r="I4306" t="s">
        <v>32</v>
      </c>
      <c r="J4306" s="9">
        <v>54321</v>
      </c>
      <c r="K4306" s="9" t="s">
        <v>23</v>
      </c>
      <c r="L4306" s="9"/>
    </row>
    <row r="4307" spans="2:12" ht="15" x14ac:dyDescent="0.25">
      <c r="B4307" t="s">
        <v>3400</v>
      </c>
      <c r="C4307" t="s">
        <v>3401</v>
      </c>
      <c r="D4307" t="str">
        <f>HYPERLINK("https://rhld.insurance.arkansas.gov/NPILookup?Npi=1629527965","1629527965")</f>
        <v>1629527965</v>
      </c>
      <c r="E4307" t="s">
        <v>3889</v>
      </c>
      <c r="F4307" t="s">
        <v>13</v>
      </c>
      <c r="G4307" s="20">
        <v>1</v>
      </c>
      <c r="H4307" t="s">
        <v>3403</v>
      </c>
      <c r="I4307" t="s">
        <v>32</v>
      </c>
      <c r="J4307" s="9">
        <v>54321</v>
      </c>
      <c r="K4307" s="9" t="s">
        <v>23</v>
      </c>
      <c r="L4307" s="9"/>
    </row>
    <row r="4308" spans="2:12" ht="15" x14ac:dyDescent="0.25">
      <c r="B4308" t="s">
        <v>3400</v>
      </c>
      <c r="C4308" t="s">
        <v>3401</v>
      </c>
      <c r="D4308" t="str">
        <f>HYPERLINK("https://rhld.insurance.arkansas.gov/NPILookup?Npi=1629531595","1629531595")</f>
        <v>1629531595</v>
      </c>
      <c r="E4308" t="s">
        <v>2928</v>
      </c>
      <c r="F4308" t="s">
        <v>13</v>
      </c>
      <c r="G4308" s="20">
        <v>1</v>
      </c>
      <c r="H4308" t="s">
        <v>4357</v>
      </c>
      <c r="I4308" t="s">
        <v>4357</v>
      </c>
      <c r="J4308" s="9">
        <v>54321</v>
      </c>
      <c r="K4308" s="9" t="s">
        <v>23</v>
      </c>
      <c r="L4308" s="9"/>
    </row>
    <row r="4309" spans="2:12" ht="15" x14ac:dyDescent="0.25">
      <c r="B4309" t="s">
        <v>3400</v>
      </c>
      <c r="C4309" t="s">
        <v>3401</v>
      </c>
      <c r="D4309" t="str">
        <f>HYPERLINK("https://rhld.insurance.arkansas.gov/NPILookup?Npi=1629599287","1629599287")</f>
        <v>1629599287</v>
      </c>
      <c r="E4309" t="s">
        <v>3890</v>
      </c>
      <c r="F4309" t="s">
        <v>12</v>
      </c>
      <c r="G4309" s="20">
        <v>1</v>
      </c>
      <c r="H4309" t="s">
        <v>4338</v>
      </c>
      <c r="I4309" t="s">
        <v>32</v>
      </c>
      <c r="J4309" s="9">
        <v>54321</v>
      </c>
      <c r="K4309" s="9" t="s">
        <v>23</v>
      </c>
      <c r="L4309" s="9"/>
    </row>
    <row r="4310" spans="2:12" ht="15" x14ac:dyDescent="0.25">
      <c r="B4310" t="s">
        <v>3400</v>
      </c>
      <c r="C4310" t="s">
        <v>3401</v>
      </c>
      <c r="D4310" t="str">
        <f>HYPERLINK("https://rhld.insurance.arkansas.gov/NPILookup?Npi=1629627542","1629627542")</f>
        <v>1629627542</v>
      </c>
      <c r="E4310" t="s">
        <v>2930</v>
      </c>
      <c r="F4310" t="s">
        <v>13</v>
      </c>
      <c r="G4310" s="20">
        <v>4</v>
      </c>
      <c r="H4310" t="s">
        <v>3891</v>
      </c>
      <c r="I4310" t="s">
        <v>4357</v>
      </c>
      <c r="J4310" s="9">
        <v>54321</v>
      </c>
      <c r="K4310" s="9" t="s">
        <v>23</v>
      </c>
      <c r="L4310" s="9"/>
    </row>
    <row r="4311" spans="2:12" ht="15" x14ac:dyDescent="0.25">
      <c r="B4311" t="s">
        <v>3400</v>
      </c>
      <c r="C4311" t="s">
        <v>3401</v>
      </c>
      <c r="D4311" t="str">
        <f>HYPERLINK("https://rhld.insurance.arkansas.gov/NPILookup?Npi=1629661053","1629661053")</f>
        <v>1629661053</v>
      </c>
      <c r="E4311" t="s">
        <v>3892</v>
      </c>
      <c r="F4311" t="s">
        <v>13</v>
      </c>
      <c r="G4311" s="20">
        <v>1</v>
      </c>
      <c r="H4311" t="s">
        <v>3403</v>
      </c>
      <c r="I4311" t="s">
        <v>32</v>
      </c>
      <c r="J4311" s="9">
        <v>54321</v>
      </c>
      <c r="K4311" s="9" t="s">
        <v>23</v>
      </c>
      <c r="L4311" s="9"/>
    </row>
    <row r="4312" spans="2:12" ht="15" x14ac:dyDescent="0.25">
      <c r="B4312" t="s">
        <v>3400</v>
      </c>
      <c r="C4312" t="s">
        <v>3401</v>
      </c>
      <c r="D4312" t="str">
        <f>HYPERLINK("https://rhld.insurance.arkansas.gov/NPILookup?Npi=1629719018","1629719018")</f>
        <v>1629719018</v>
      </c>
      <c r="E4312" t="s">
        <v>2932</v>
      </c>
      <c r="F4312" t="s">
        <v>13</v>
      </c>
      <c r="G4312" s="20">
        <v>1</v>
      </c>
      <c r="H4312" t="s">
        <v>4357</v>
      </c>
      <c r="I4312" t="s">
        <v>4357</v>
      </c>
      <c r="J4312" s="9">
        <v>54321</v>
      </c>
      <c r="K4312" s="9" t="s">
        <v>23</v>
      </c>
      <c r="L4312" s="9"/>
    </row>
    <row r="4313" spans="2:12" ht="15" x14ac:dyDescent="0.25">
      <c r="B4313" t="s">
        <v>3400</v>
      </c>
      <c r="C4313" t="s">
        <v>3401</v>
      </c>
      <c r="D4313" t="str">
        <f>HYPERLINK("https://rhld.insurance.arkansas.gov/NPILookup?Npi=1629791009","1629791009")</f>
        <v>1629791009</v>
      </c>
      <c r="E4313" t="s">
        <v>3893</v>
      </c>
      <c r="F4313" t="s">
        <v>13</v>
      </c>
      <c r="G4313" s="20">
        <v>1</v>
      </c>
      <c r="H4313" t="s">
        <v>3403</v>
      </c>
      <c r="I4313" t="s">
        <v>32</v>
      </c>
      <c r="J4313" s="9">
        <v>54321</v>
      </c>
      <c r="K4313" s="9" t="s">
        <v>23</v>
      </c>
      <c r="L4313" s="9"/>
    </row>
    <row r="4314" spans="2:12" ht="15" x14ac:dyDescent="0.25">
      <c r="B4314" t="s">
        <v>3400</v>
      </c>
      <c r="C4314" t="s">
        <v>3401</v>
      </c>
      <c r="D4314" t="str">
        <f>HYPERLINK("https://rhld.insurance.arkansas.gov/NPILookup?Npi=1629802772","1629802772")</f>
        <v>1629802772</v>
      </c>
      <c r="E4314" t="s">
        <v>2935</v>
      </c>
      <c r="F4314" t="s">
        <v>13</v>
      </c>
      <c r="G4314" s="20">
        <v>1</v>
      </c>
      <c r="H4314" t="s">
        <v>4357</v>
      </c>
      <c r="I4314" t="s">
        <v>4357</v>
      </c>
      <c r="J4314" s="9">
        <v>54321</v>
      </c>
      <c r="K4314" s="9" t="s">
        <v>23</v>
      </c>
      <c r="L4314" s="9"/>
    </row>
    <row r="4315" spans="2:12" ht="15" x14ac:dyDescent="0.25">
      <c r="B4315" t="s">
        <v>3400</v>
      </c>
      <c r="C4315" t="s">
        <v>3401</v>
      </c>
      <c r="D4315" t="str">
        <f>HYPERLINK("https://rhld.insurance.arkansas.gov/NPILookup?Npi=1629847132","1629847132")</f>
        <v>1629847132</v>
      </c>
      <c r="E4315" t="s">
        <v>2936</v>
      </c>
      <c r="F4315" t="s">
        <v>13</v>
      </c>
      <c r="G4315" s="20">
        <v>2</v>
      </c>
      <c r="H4315" t="s">
        <v>439</v>
      </c>
      <c r="I4315" t="s">
        <v>4357</v>
      </c>
      <c r="J4315" s="9">
        <v>54321</v>
      </c>
      <c r="K4315" s="9" t="s">
        <v>23</v>
      </c>
      <c r="L4315" s="9"/>
    </row>
    <row r="4316" spans="2:12" ht="15" x14ac:dyDescent="0.25">
      <c r="B4316" t="s">
        <v>3400</v>
      </c>
      <c r="C4316" t="s">
        <v>3401</v>
      </c>
      <c r="D4316" t="str">
        <f>HYPERLINK("https://rhld.insurance.arkansas.gov/NPILookup?Npi=1639105182","1639105182")</f>
        <v>1639105182</v>
      </c>
      <c r="E4316" t="s">
        <v>2937</v>
      </c>
      <c r="F4316" t="s">
        <v>13</v>
      </c>
      <c r="G4316" s="20">
        <v>1</v>
      </c>
      <c r="H4316" t="s">
        <v>4357</v>
      </c>
      <c r="I4316" t="s">
        <v>4357</v>
      </c>
      <c r="J4316" s="9">
        <v>54321</v>
      </c>
      <c r="K4316" s="9" t="s">
        <v>23</v>
      </c>
      <c r="L4316" s="9"/>
    </row>
    <row r="4317" spans="2:12" ht="15" x14ac:dyDescent="0.25">
      <c r="B4317" t="s">
        <v>3400</v>
      </c>
      <c r="C4317" t="s">
        <v>3401</v>
      </c>
      <c r="D4317" t="str">
        <f>HYPERLINK("https://rhld.insurance.arkansas.gov/NPILookup?Npi=1639142284","1639142284")</f>
        <v>1639142284</v>
      </c>
      <c r="E4317" t="s">
        <v>3894</v>
      </c>
      <c r="F4317" t="s">
        <v>13</v>
      </c>
      <c r="G4317" s="20">
        <v>1</v>
      </c>
      <c r="H4317" t="s">
        <v>3403</v>
      </c>
      <c r="I4317" t="s">
        <v>32</v>
      </c>
      <c r="J4317" s="9">
        <v>54321</v>
      </c>
      <c r="K4317" s="9" t="s">
        <v>4639</v>
      </c>
      <c r="L4317" s="9"/>
    </row>
    <row r="4318" spans="2:12" ht="15" x14ac:dyDescent="0.25">
      <c r="B4318" t="s">
        <v>3400</v>
      </c>
      <c r="C4318" t="s">
        <v>3401</v>
      </c>
      <c r="D4318" t="str">
        <f>HYPERLINK("https://rhld.insurance.arkansas.gov/NPILookup?Npi=1639142524","1639142524")</f>
        <v>1639142524</v>
      </c>
      <c r="E4318" t="s">
        <v>1489</v>
      </c>
      <c r="F4318" t="s">
        <v>13</v>
      </c>
      <c r="G4318" s="20">
        <v>1</v>
      </c>
      <c r="H4318" t="s">
        <v>3403</v>
      </c>
      <c r="I4318" t="s">
        <v>4357</v>
      </c>
      <c r="J4318" s="9">
        <v>54321</v>
      </c>
      <c r="K4318" s="9" t="s">
        <v>23</v>
      </c>
      <c r="L4318" s="9"/>
    </row>
    <row r="4319" spans="2:12" ht="15" x14ac:dyDescent="0.25">
      <c r="B4319" t="s">
        <v>3400</v>
      </c>
      <c r="C4319" t="s">
        <v>3401</v>
      </c>
      <c r="D4319" t="str">
        <f>HYPERLINK("https://rhld.insurance.arkansas.gov/NPILookup?Npi=1639173420","1639173420")</f>
        <v>1639173420</v>
      </c>
      <c r="E4319" t="s">
        <v>3895</v>
      </c>
      <c r="F4319" t="s">
        <v>13</v>
      </c>
      <c r="G4319" s="20">
        <v>1</v>
      </c>
      <c r="H4319" t="s">
        <v>3403</v>
      </c>
      <c r="I4319" t="s">
        <v>32</v>
      </c>
      <c r="J4319" s="9">
        <v>54321</v>
      </c>
      <c r="K4319" s="9" t="s">
        <v>23</v>
      </c>
      <c r="L4319" s="9"/>
    </row>
    <row r="4320" spans="2:12" ht="15" x14ac:dyDescent="0.25">
      <c r="B4320" t="s">
        <v>3400</v>
      </c>
      <c r="C4320" t="s">
        <v>3401</v>
      </c>
      <c r="D4320" t="str">
        <f>HYPERLINK("https://rhld.insurance.arkansas.gov/NPILookup?Npi=1639326507","1639326507")</f>
        <v>1639326507</v>
      </c>
      <c r="E4320" t="s">
        <v>3896</v>
      </c>
      <c r="F4320" t="s">
        <v>13</v>
      </c>
      <c r="G4320" s="20">
        <v>1</v>
      </c>
      <c r="H4320" t="s">
        <v>4357</v>
      </c>
      <c r="I4320" t="s">
        <v>4357</v>
      </c>
      <c r="J4320" s="9">
        <v>54321</v>
      </c>
      <c r="K4320" s="9" t="s">
        <v>23</v>
      </c>
      <c r="L4320" s="9"/>
    </row>
    <row r="4321" spans="2:12" ht="15" x14ac:dyDescent="0.25">
      <c r="B4321" t="s">
        <v>3400</v>
      </c>
      <c r="C4321" t="s">
        <v>3401</v>
      </c>
      <c r="D4321" t="str">
        <f>HYPERLINK("https://rhld.insurance.arkansas.gov/NPILookup?Npi=1639370851","1639370851")</f>
        <v>1639370851</v>
      </c>
      <c r="E4321" t="s">
        <v>3897</v>
      </c>
      <c r="F4321" t="s">
        <v>12</v>
      </c>
      <c r="G4321" s="20">
        <v>1</v>
      </c>
      <c r="H4321" t="s">
        <v>4338</v>
      </c>
      <c r="I4321" t="s">
        <v>32</v>
      </c>
      <c r="J4321" s="9">
        <v>54321</v>
      </c>
      <c r="K4321" s="9" t="s">
        <v>23</v>
      </c>
      <c r="L4321" s="9"/>
    </row>
    <row r="4322" spans="2:12" ht="15" x14ac:dyDescent="0.25">
      <c r="B4322" t="s">
        <v>3400</v>
      </c>
      <c r="C4322" t="s">
        <v>3401</v>
      </c>
      <c r="D4322" t="str">
        <f>HYPERLINK("https://rhld.insurance.arkansas.gov/NPILookup?Npi=1639433469","1639433469")</f>
        <v>1639433469</v>
      </c>
      <c r="E4322" t="s">
        <v>2941</v>
      </c>
      <c r="F4322" t="s">
        <v>13</v>
      </c>
      <c r="G4322" s="20">
        <v>1</v>
      </c>
      <c r="H4322" t="s">
        <v>4357</v>
      </c>
      <c r="I4322" t="s">
        <v>4357</v>
      </c>
      <c r="J4322" s="9">
        <v>54321</v>
      </c>
      <c r="K4322" s="9" t="s">
        <v>23</v>
      </c>
      <c r="L4322" s="9"/>
    </row>
    <row r="4323" spans="2:12" ht="15" x14ac:dyDescent="0.25">
      <c r="B4323" t="s">
        <v>3400</v>
      </c>
      <c r="C4323" t="s">
        <v>3401</v>
      </c>
      <c r="D4323" t="str">
        <f>HYPERLINK("https://rhld.insurance.arkansas.gov/NPILookup?Npi=1639591506","1639591506")</f>
        <v>1639591506</v>
      </c>
      <c r="E4323" t="s">
        <v>2943</v>
      </c>
      <c r="F4323" t="s">
        <v>13</v>
      </c>
      <c r="G4323" s="20">
        <v>1</v>
      </c>
      <c r="H4323" t="s">
        <v>3403</v>
      </c>
      <c r="I4323" t="s">
        <v>4357</v>
      </c>
      <c r="J4323" s="9">
        <v>54321</v>
      </c>
      <c r="K4323" s="9" t="s">
        <v>23</v>
      </c>
      <c r="L4323" s="9"/>
    </row>
    <row r="4324" spans="2:12" ht="15" x14ac:dyDescent="0.25">
      <c r="B4324" t="s">
        <v>3400</v>
      </c>
      <c r="C4324" t="s">
        <v>3401</v>
      </c>
      <c r="D4324" t="str">
        <f>HYPERLINK("https://rhld.insurance.arkansas.gov/NPILookup?Npi=1639620271","1639620271")</f>
        <v>1639620271</v>
      </c>
      <c r="E4324" t="s">
        <v>3898</v>
      </c>
      <c r="F4324" t="s">
        <v>13</v>
      </c>
      <c r="G4324" s="20">
        <v>1</v>
      </c>
      <c r="H4324" t="s">
        <v>3403</v>
      </c>
      <c r="I4324" t="s">
        <v>4357</v>
      </c>
      <c r="J4324" s="9">
        <v>54321</v>
      </c>
      <c r="K4324" s="9" t="s">
        <v>23</v>
      </c>
      <c r="L4324" s="9"/>
    </row>
    <row r="4325" spans="2:12" ht="15" x14ac:dyDescent="0.25">
      <c r="B4325" t="s">
        <v>3400</v>
      </c>
      <c r="C4325" t="s">
        <v>3401</v>
      </c>
      <c r="D4325" t="str">
        <f>HYPERLINK("https://rhld.insurance.arkansas.gov/NPILookup?Npi=1639679970","1639679970")</f>
        <v>1639679970</v>
      </c>
      <c r="E4325" t="s">
        <v>2945</v>
      </c>
      <c r="F4325" t="s">
        <v>13</v>
      </c>
      <c r="G4325" s="20">
        <v>1</v>
      </c>
      <c r="H4325" t="s">
        <v>4357</v>
      </c>
      <c r="I4325" t="s">
        <v>4357</v>
      </c>
      <c r="J4325" s="9">
        <v>54321</v>
      </c>
      <c r="K4325" s="9" t="s">
        <v>23</v>
      </c>
      <c r="L4325" s="9"/>
    </row>
    <row r="4326" spans="2:12" ht="15" x14ac:dyDescent="0.25">
      <c r="B4326" t="s">
        <v>3400</v>
      </c>
      <c r="C4326" t="s">
        <v>3401</v>
      </c>
      <c r="D4326" t="str">
        <f>HYPERLINK("https://rhld.insurance.arkansas.gov/NPILookup?Npi=1639725823","1639725823")</f>
        <v>1639725823</v>
      </c>
      <c r="E4326" t="s">
        <v>3899</v>
      </c>
      <c r="F4326" t="s">
        <v>13</v>
      </c>
      <c r="G4326" s="20">
        <v>1</v>
      </c>
      <c r="H4326" t="s">
        <v>3403</v>
      </c>
      <c r="I4326" t="s">
        <v>4357</v>
      </c>
      <c r="J4326" s="9">
        <v>54321</v>
      </c>
      <c r="K4326" s="9" t="s">
        <v>23</v>
      </c>
      <c r="L4326" s="9"/>
    </row>
    <row r="4327" spans="2:12" ht="15" x14ac:dyDescent="0.25">
      <c r="B4327" t="s">
        <v>3400</v>
      </c>
      <c r="C4327" t="s">
        <v>3401</v>
      </c>
      <c r="D4327" t="str">
        <f>HYPERLINK("https://rhld.insurance.arkansas.gov/NPILookup?Npi=1639806607","1639806607")</f>
        <v>1639806607</v>
      </c>
      <c r="E4327" t="s">
        <v>3900</v>
      </c>
      <c r="F4327" t="s">
        <v>13</v>
      </c>
      <c r="G4327" s="20">
        <v>1</v>
      </c>
      <c r="H4327" t="s">
        <v>3403</v>
      </c>
      <c r="I4327" t="s">
        <v>4357</v>
      </c>
      <c r="J4327" s="9">
        <v>54321</v>
      </c>
      <c r="K4327" s="9" t="s">
        <v>23</v>
      </c>
      <c r="L4327" s="9"/>
    </row>
    <row r="4328" spans="2:12" ht="15" x14ac:dyDescent="0.25">
      <c r="B4328" t="s">
        <v>3400</v>
      </c>
      <c r="C4328" t="s">
        <v>3401</v>
      </c>
      <c r="D4328" t="str">
        <f>HYPERLINK("https://rhld.insurance.arkansas.gov/NPILookup?Npi=1639837099","1639837099")</f>
        <v>1639837099</v>
      </c>
      <c r="E4328" t="s">
        <v>2947</v>
      </c>
      <c r="F4328" t="s">
        <v>13</v>
      </c>
      <c r="G4328" s="20">
        <v>1</v>
      </c>
      <c r="H4328" t="s">
        <v>3403</v>
      </c>
      <c r="I4328" t="s">
        <v>4357</v>
      </c>
      <c r="J4328" s="9">
        <v>54321</v>
      </c>
      <c r="K4328" s="9" t="s">
        <v>23</v>
      </c>
      <c r="L4328" s="9"/>
    </row>
    <row r="4329" spans="2:12" ht="15" x14ac:dyDescent="0.25">
      <c r="B4329" t="s">
        <v>3400</v>
      </c>
      <c r="C4329" t="s">
        <v>3401</v>
      </c>
      <c r="D4329" t="str">
        <f>HYPERLINK("https://rhld.insurance.arkansas.gov/NPILookup?Npi=1639909955","1639909955")</f>
        <v>1639909955</v>
      </c>
      <c r="E4329" t="s">
        <v>2949</v>
      </c>
      <c r="F4329" t="s">
        <v>13</v>
      </c>
      <c r="G4329" s="20">
        <v>1</v>
      </c>
      <c r="H4329" t="s">
        <v>4357</v>
      </c>
      <c r="I4329" t="s">
        <v>4357</v>
      </c>
      <c r="J4329" s="9">
        <v>54321</v>
      </c>
      <c r="K4329" s="9" t="s">
        <v>23</v>
      </c>
      <c r="L4329" s="9"/>
    </row>
    <row r="4330" spans="2:12" ht="15" x14ac:dyDescent="0.25">
      <c r="B4330" t="s">
        <v>3400</v>
      </c>
      <c r="C4330" t="s">
        <v>3401</v>
      </c>
      <c r="D4330" t="str">
        <f>HYPERLINK("https://rhld.insurance.arkansas.gov/NPILookup?Npi=1639989304","1639989304")</f>
        <v>1639989304</v>
      </c>
      <c r="E4330" t="s">
        <v>2088</v>
      </c>
      <c r="F4330" t="s">
        <v>13</v>
      </c>
      <c r="G4330" s="20">
        <v>1</v>
      </c>
      <c r="H4330" t="s">
        <v>4357</v>
      </c>
      <c r="I4330" t="s">
        <v>4357</v>
      </c>
      <c r="J4330" s="9">
        <v>54321</v>
      </c>
      <c r="K4330" s="9" t="s">
        <v>23</v>
      </c>
      <c r="L4330" s="9"/>
    </row>
    <row r="4331" spans="2:12" ht="15" x14ac:dyDescent="0.25">
      <c r="B4331" t="s">
        <v>3400</v>
      </c>
      <c r="C4331" t="s">
        <v>3401</v>
      </c>
      <c r="D4331" t="str">
        <f>HYPERLINK("https://rhld.insurance.arkansas.gov/NPILookup?Npi=1649012766","1649012766")</f>
        <v>1649012766</v>
      </c>
      <c r="E4331" t="s">
        <v>2950</v>
      </c>
      <c r="F4331" t="s">
        <v>13</v>
      </c>
      <c r="G4331" s="20">
        <v>1</v>
      </c>
      <c r="H4331" t="s">
        <v>4357</v>
      </c>
      <c r="I4331" t="s">
        <v>4357</v>
      </c>
      <c r="J4331" s="9">
        <v>54321</v>
      </c>
      <c r="K4331" s="9" t="s">
        <v>23</v>
      </c>
      <c r="L4331" s="9"/>
    </row>
    <row r="4332" spans="2:12" ht="15" x14ac:dyDescent="0.25">
      <c r="B4332" t="s">
        <v>3400</v>
      </c>
      <c r="C4332" t="s">
        <v>3401</v>
      </c>
      <c r="D4332" t="str">
        <f>HYPERLINK("https://rhld.insurance.arkansas.gov/NPILookup?Npi=1649018375","1649018375")</f>
        <v>1649018375</v>
      </c>
      <c r="E4332" t="s">
        <v>2089</v>
      </c>
      <c r="F4332" t="s">
        <v>13</v>
      </c>
      <c r="G4332" s="20">
        <v>1</v>
      </c>
      <c r="H4332" t="s">
        <v>4357</v>
      </c>
      <c r="I4332" t="s">
        <v>4357</v>
      </c>
      <c r="J4332" s="9">
        <v>54321</v>
      </c>
      <c r="K4332" s="9" t="s">
        <v>23</v>
      </c>
      <c r="L4332" s="9"/>
    </row>
    <row r="4333" spans="2:12" ht="15" x14ac:dyDescent="0.25">
      <c r="B4333" t="s">
        <v>3400</v>
      </c>
      <c r="C4333" t="s">
        <v>3401</v>
      </c>
      <c r="D4333" t="str">
        <f>HYPERLINK("https://rhld.insurance.arkansas.gov/NPILookup?Npi=1649033952","1649033952")</f>
        <v>1649033952</v>
      </c>
      <c r="E4333" t="s">
        <v>3901</v>
      </c>
      <c r="F4333" t="s">
        <v>13</v>
      </c>
      <c r="G4333" s="20">
        <v>1</v>
      </c>
      <c r="H4333" t="s">
        <v>3403</v>
      </c>
      <c r="I4333" t="s">
        <v>4357</v>
      </c>
      <c r="J4333" s="9">
        <v>54321</v>
      </c>
      <c r="K4333" s="9" t="s">
        <v>23</v>
      </c>
      <c r="L4333" s="9"/>
    </row>
    <row r="4334" spans="2:12" ht="15" x14ac:dyDescent="0.25">
      <c r="B4334" t="s">
        <v>3400</v>
      </c>
      <c r="C4334" t="s">
        <v>3401</v>
      </c>
      <c r="D4334" t="str">
        <f>HYPERLINK("https://rhld.insurance.arkansas.gov/NPILookup?Npi=1649218892","1649218892")</f>
        <v>1649218892</v>
      </c>
      <c r="E4334" t="s">
        <v>3902</v>
      </c>
      <c r="F4334" t="s">
        <v>13</v>
      </c>
      <c r="G4334" s="20">
        <v>1</v>
      </c>
      <c r="H4334" t="s">
        <v>3403</v>
      </c>
      <c r="I4334" t="s">
        <v>32</v>
      </c>
      <c r="J4334" s="9">
        <v>54321</v>
      </c>
      <c r="K4334" s="9" t="s">
        <v>23</v>
      </c>
      <c r="L4334" s="9"/>
    </row>
    <row r="4335" spans="2:12" ht="15" x14ac:dyDescent="0.25">
      <c r="B4335" t="s">
        <v>3400</v>
      </c>
      <c r="C4335" t="s">
        <v>3401</v>
      </c>
      <c r="D4335" t="str">
        <f>HYPERLINK("https://rhld.insurance.arkansas.gov/NPILookup?Npi=1649250689","1649250689")</f>
        <v>1649250689</v>
      </c>
      <c r="E4335" t="s">
        <v>3903</v>
      </c>
      <c r="F4335" t="s">
        <v>13</v>
      </c>
      <c r="G4335" s="20">
        <v>1</v>
      </c>
      <c r="H4335" t="s">
        <v>3403</v>
      </c>
      <c r="I4335" t="s">
        <v>32</v>
      </c>
      <c r="J4335" s="9">
        <v>54321</v>
      </c>
      <c r="K4335" s="9" t="s">
        <v>23</v>
      </c>
      <c r="L4335" s="9"/>
    </row>
    <row r="4336" spans="2:12" ht="15" x14ac:dyDescent="0.25">
      <c r="B4336" t="s">
        <v>3400</v>
      </c>
      <c r="C4336" t="s">
        <v>3401</v>
      </c>
      <c r="D4336" t="str">
        <f>HYPERLINK("https://rhld.insurance.arkansas.gov/NPILookup?Npi=1649442484","1649442484")</f>
        <v>1649442484</v>
      </c>
      <c r="E4336" t="s">
        <v>3904</v>
      </c>
      <c r="F4336" t="s">
        <v>13</v>
      </c>
      <c r="G4336" s="20">
        <v>1</v>
      </c>
      <c r="H4336" t="s">
        <v>3403</v>
      </c>
      <c r="I4336" t="s">
        <v>4357</v>
      </c>
      <c r="J4336" s="9">
        <v>54321</v>
      </c>
      <c r="K4336" s="9" t="s">
        <v>23</v>
      </c>
      <c r="L4336" s="9"/>
    </row>
    <row r="4337" spans="2:12" ht="15" x14ac:dyDescent="0.25">
      <c r="B4337" t="s">
        <v>3400</v>
      </c>
      <c r="C4337" t="s">
        <v>3401</v>
      </c>
      <c r="D4337" t="str">
        <f>HYPERLINK("https://rhld.insurance.arkansas.gov/NPILookup?Npi=1649587031","1649587031")</f>
        <v>1649587031</v>
      </c>
      <c r="E4337" t="s">
        <v>2956</v>
      </c>
      <c r="F4337" t="s">
        <v>13</v>
      </c>
      <c r="G4337" s="20">
        <v>1</v>
      </c>
      <c r="H4337" t="s">
        <v>3403</v>
      </c>
      <c r="I4337" t="s">
        <v>4357</v>
      </c>
      <c r="J4337" s="9">
        <v>54321</v>
      </c>
      <c r="K4337" s="9" t="s">
        <v>23</v>
      </c>
      <c r="L4337" s="9"/>
    </row>
    <row r="4338" spans="2:12" ht="15" x14ac:dyDescent="0.25">
      <c r="B4338" t="s">
        <v>3400</v>
      </c>
      <c r="C4338" t="s">
        <v>3401</v>
      </c>
      <c r="D4338" t="str">
        <f>HYPERLINK("https://rhld.insurance.arkansas.gov/NPILookup?Npi=1649594219","1649594219")</f>
        <v>1649594219</v>
      </c>
      <c r="E4338" t="s">
        <v>2957</v>
      </c>
      <c r="F4338" t="s">
        <v>13</v>
      </c>
      <c r="G4338" s="20">
        <v>1</v>
      </c>
      <c r="H4338" t="s">
        <v>3403</v>
      </c>
      <c r="I4338" t="s">
        <v>4357</v>
      </c>
      <c r="J4338" s="9">
        <v>54321</v>
      </c>
      <c r="K4338" s="9" t="s">
        <v>4639</v>
      </c>
      <c r="L4338" s="9"/>
    </row>
    <row r="4339" spans="2:12" ht="15" x14ac:dyDescent="0.25">
      <c r="B4339" t="s">
        <v>3400</v>
      </c>
      <c r="C4339" t="s">
        <v>3401</v>
      </c>
      <c r="D4339" t="str">
        <f>HYPERLINK("https://rhld.insurance.arkansas.gov/NPILookup?Npi=1649604141","1649604141")</f>
        <v>1649604141</v>
      </c>
      <c r="E4339" t="s">
        <v>3905</v>
      </c>
      <c r="F4339" t="s">
        <v>13</v>
      </c>
      <c r="G4339" s="20">
        <v>1</v>
      </c>
      <c r="H4339" t="s">
        <v>3403</v>
      </c>
      <c r="I4339" t="s">
        <v>32</v>
      </c>
      <c r="J4339" s="9">
        <v>54321</v>
      </c>
      <c r="K4339" s="9" t="s">
        <v>23</v>
      </c>
      <c r="L4339" s="9"/>
    </row>
    <row r="4340" spans="2:12" ht="15" x14ac:dyDescent="0.25">
      <c r="B4340" t="s">
        <v>3400</v>
      </c>
      <c r="C4340" t="s">
        <v>3401</v>
      </c>
      <c r="D4340" t="str">
        <f>HYPERLINK("https://rhld.insurance.arkansas.gov/NPILookup?Npi=1649634585","1649634585")</f>
        <v>1649634585</v>
      </c>
      <c r="E4340" t="s">
        <v>3906</v>
      </c>
      <c r="F4340" t="s">
        <v>13</v>
      </c>
      <c r="G4340" s="20">
        <v>1</v>
      </c>
      <c r="H4340" t="s">
        <v>3403</v>
      </c>
      <c r="I4340" t="s">
        <v>32</v>
      </c>
      <c r="J4340" s="9">
        <v>54321</v>
      </c>
      <c r="K4340" s="9" t="s">
        <v>23</v>
      </c>
      <c r="L4340" s="9"/>
    </row>
    <row r="4341" spans="2:12" ht="15" x14ac:dyDescent="0.25">
      <c r="B4341" t="s">
        <v>3400</v>
      </c>
      <c r="C4341" t="s">
        <v>3401</v>
      </c>
      <c r="D4341" t="str">
        <f>HYPERLINK("https://rhld.insurance.arkansas.gov/NPILookup?Npi=1649686148","1649686148")</f>
        <v>1649686148</v>
      </c>
      <c r="E4341" t="s">
        <v>3907</v>
      </c>
      <c r="F4341" t="s">
        <v>13</v>
      </c>
      <c r="G4341" s="20">
        <v>1</v>
      </c>
      <c r="H4341" t="s">
        <v>3403</v>
      </c>
      <c r="I4341" t="s">
        <v>32</v>
      </c>
      <c r="J4341" s="9">
        <v>54321</v>
      </c>
      <c r="K4341" s="9" t="s">
        <v>23</v>
      </c>
      <c r="L4341" s="9"/>
    </row>
    <row r="4342" spans="2:12" ht="15" x14ac:dyDescent="0.25">
      <c r="B4342" t="s">
        <v>3400</v>
      </c>
      <c r="C4342" t="s">
        <v>3401</v>
      </c>
      <c r="D4342" t="str">
        <f>HYPERLINK("https://rhld.insurance.arkansas.gov/NPILookup?Npi=1649803552","1649803552")</f>
        <v>1649803552</v>
      </c>
      <c r="E4342" t="s">
        <v>3908</v>
      </c>
      <c r="F4342" t="s">
        <v>12</v>
      </c>
      <c r="G4342" s="20">
        <v>1</v>
      </c>
      <c r="H4342" t="s">
        <v>4338</v>
      </c>
      <c r="I4342" t="s">
        <v>32</v>
      </c>
      <c r="J4342" s="9">
        <v>54321</v>
      </c>
      <c r="K4342" s="9" t="s">
        <v>23</v>
      </c>
      <c r="L4342" s="9"/>
    </row>
    <row r="4343" spans="2:12" ht="15" x14ac:dyDescent="0.25">
      <c r="B4343" t="s">
        <v>3400</v>
      </c>
      <c r="C4343" t="s">
        <v>3401</v>
      </c>
      <c r="D4343" t="str">
        <f>HYPERLINK("https://rhld.insurance.arkansas.gov/NPILookup?Npi=1649806613","1649806613")</f>
        <v>1649806613</v>
      </c>
      <c r="E4343" t="s">
        <v>2960</v>
      </c>
      <c r="F4343" t="s">
        <v>13</v>
      </c>
      <c r="G4343" s="20">
        <v>1</v>
      </c>
      <c r="H4343" t="s">
        <v>3403</v>
      </c>
      <c r="I4343" t="s">
        <v>4357</v>
      </c>
      <c r="J4343" s="9">
        <v>54321</v>
      </c>
      <c r="K4343" s="9" t="s">
        <v>23</v>
      </c>
      <c r="L4343" s="9"/>
    </row>
    <row r="4344" spans="2:12" ht="15" x14ac:dyDescent="0.25">
      <c r="B4344" t="s">
        <v>3400</v>
      </c>
      <c r="C4344" t="s">
        <v>3401</v>
      </c>
      <c r="D4344" t="str">
        <f>HYPERLINK("https://rhld.insurance.arkansas.gov/NPILookup?Npi=1649851056","1649851056")</f>
        <v>1649851056</v>
      </c>
      <c r="E4344" t="s">
        <v>2961</v>
      </c>
      <c r="F4344" t="s">
        <v>13</v>
      </c>
      <c r="G4344" s="20">
        <v>1</v>
      </c>
      <c r="H4344" t="s">
        <v>4357</v>
      </c>
      <c r="I4344" t="s">
        <v>4357</v>
      </c>
      <c r="J4344" s="9">
        <v>54321</v>
      </c>
      <c r="K4344" s="9" t="s">
        <v>23</v>
      </c>
      <c r="L4344" s="9"/>
    </row>
    <row r="4345" spans="2:12" ht="15" x14ac:dyDescent="0.25">
      <c r="B4345" t="s">
        <v>3400</v>
      </c>
      <c r="C4345" t="s">
        <v>3401</v>
      </c>
      <c r="D4345" t="str">
        <f>HYPERLINK("https://rhld.insurance.arkansas.gov/NPILookup?Npi=1649918343","1649918343")</f>
        <v>1649918343</v>
      </c>
      <c r="E4345" t="s">
        <v>3909</v>
      </c>
      <c r="F4345" t="s">
        <v>13</v>
      </c>
      <c r="G4345" s="20">
        <v>1</v>
      </c>
      <c r="H4345" t="s">
        <v>3403</v>
      </c>
      <c r="I4345" t="s">
        <v>4357</v>
      </c>
      <c r="J4345" s="9">
        <v>54321</v>
      </c>
      <c r="K4345" s="9" t="s">
        <v>23</v>
      </c>
      <c r="L4345" s="9"/>
    </row>
    <row r="4346" spans="2:12" ht="15" x14ac:dyDescent="0.25">
      <c r="B4346" t="s">
        <v>3400</v>
      </c>
      <c r="C4346" t="s">
        <v>3401</v>
      </c>
      <c r="D4346" t="str">
        <f>HYPERLINK("https://rhld.insurance.arkansas.gov/NPILookup?Npi=1659101863","1659101863")</f>
        <v>1659101863</v>
      </c>
      <c r="E4346" t="s">
        <v>3910</v>
      </c>
      <c r="F4346" t="s">
        <v>13</v>
      </c>
      <c r="G4346" s="20">
        <v>1</v>
      </c>
      <c r="H4346" t="s">
        <v>3403</v>
      </c>
      <c r="I4346" t="s">
        <v>4357</v>
      </c>
      <c r="J4346" s="9">
        <v>54321</v>
      </c>
      <c r="K4346" s="9" t="s">
        <v>23</v>
      </c>
      <c r="L4346" s="9"/>
    </row>
    <row r="4347" spans="2:12" ht="15" x14ac:dyDescent="0.25">
      <c r="B4347" t="s">
        <v>3400</v>
      </c>
      <c r="C4347" t="s">
        <v>3401</v>
      </c>
      <c r="D4347" t="str">
        <f>HYPERLINK("https://rhld.insurance.arkansas.gov/NPILookup?Npi=1659131035","1659131035")</f>
        <v>1659131035</v>
      </c>
      <c r="E4347" t="s">
        <v>2963</v>
      </c>
      <c r="F4347" t="s">
        <v>13</v>
      </c>
      <c r="G4347" s="20">
        <v>1</v>
      </c>
      <c r="H4347" t="s">
        <v>4357</v>
      </c>
      <c r="I4347" t="s">
        <v>4357</v>
      </c>
      <c r="J4347" s="9">
        <v>54321</v>
      </c>
      <c r="K4347" s="9" t="s">
        <v>23</v>
      </c>
      <c r="L4347" s="9"/>
    </row>
    <row r="4348" spans="2:12" ht="15" x14ac:dyDescent="0.25">
      <c r="B4348" t="s">
        <v>3400</v>
      </c>
      <c r="C4348" t="s">
        <v>3401</v>
      </c>
      <c r="D4348" t="str">
        <f>HYPERLINK("https://rhld.insurance.arkansas.gov/NPILookup?Npi=1659140309","1659140309")</f>
        <v>1659140309</v>
      </c>
      <c r="E4348" t="s">
        <v>2964</v>
      </c>
      <c r="F4348" t="s">
        <v>13</v>
      </c>
      <c r="G4348" s="20">
        <v>2</v>
      </c>
      <c r="H4348" t="s">
        <v>439</v>
      </c>
      <c r="I4348" t="s">
        <v>4357</v>
      </c>
      <c r="J4348" s="9">
        <v>54321</v>
      </c>
      <c r="K4348" s="9" t="s">
        <v>23</v>
      </c>
      <c r="L4348" s="9"/>
    </row>
    <row r="4349" spans="2:12" ht="15" x14ac:dyDescent="0.25">
      <c r="B4349" t="s">
        <v>3400</v>
      </c>
      <c r="C4349" t="s">
        <v>3401</v>
      </c>
      <c r="D4349" t="str">
        <f>HYPERLINK("https://rhld.insurance.arkansas.gov/NPILookup?Npi=1659199503","1659199503")</f>
        <v>1659199503</v>
      </c>
      <c r="E4349" t="s">
        <v>2965</v>
      </c>
      <c r="F4349" t="s">
        <v>13</v>
      </c>
      <c r="G4349" s="20">
        <v>1</v>
      </c>
      <c r="H4349" t="s">
        <v>4357</v>
      </c>
      <c r="I4349" t="s">
        <v>4357</v>
      </c>
      <c r="J4349" s="9">
        <v>54321</v>
      </c>
      <c r="K4349" s="9" t="s">
        <v>4639</v>
      </c>
      <c r="L4349" s="9"/>
    </row>
    <row r="4350" spans="2:12" ht="15" x14ac:dyDescent="0.25">
      <c r="B4350" t="s">
        <v>3400</v>
      </c>
      <c r="C4350" t="s">
        <v>3401</v>
      </c>
      <c r="D4350" t="str">
        <f>HYPERLINK("https://rhld.insurance.arkansas.gov/NPILookup?Npi=1659336196","1659336196")</f>
        <v>1659336196</v>
      </c>
      <c r="E4350" t="s">
        <v>2966</v>
      </c>
      <c r="F4350" t="s">
        <v>13</v>
      </c>
      <c r="G4350" s="20">
        <v>1</v>
      </c>
      <c r="H4350" t="s">
        <v>3403</v>
      </c>
      <c r="I4350" t="s">
        <v>4357</v>
      </c>
      <c r="J4350" s="9">
        <v>54321</v>
      </c>
      <c r="K4350" s="9" t="s">
        <v>23</v>
      </c>
      <c r="L4350" s="9"/>
    </row>
    <row r="4351" spans="2:12" ht="15" x14ac:dyDescent="0.25">
      <c r="B4351" t="s">
        <v>3400</v>
      </c>
      <c r="C4351" t="s">
        <v>3401</v>
      </c>
      <c r="D4351" t="str">
        <f>HYPERLINK("https://rhld.insurance.arkansas.gov/NPILookup?Npi=1659345288","1659345288")</f>
        <v>1659345288</v>
      </c>
      <c r="E4351" t="s">
        <v>2967</v>
      </c>
      <c r="F4351" t="s">
        <v>13</v>
      </c>
      <c r="G4351" s="20">
        <v>1</v>
      </c>
      <c r="H4351" t="s">
        <v>4357</v>
      </c>
      <c r="I4351" t="s">
        <v>4357</v>
      </c>
      <c r="J4351" s="9">
        <v>54321</v>
      </c>
      <c r="K4351" s="9" t="s">
        <v>4639</v>
      </c>
      <c r="L4351" s="9"/>
    </row>
    <row r="4352" spans="2:12" ht="15" x14ac:dyDescent="0.25">
      <c r="B4352" t="s">
        <v>3400</v>
      </c>
      <c r="C4352" t="s">
        <v>3401</v>
      </c>
      <c r="D4352" t="str">
        <f>HYPERLINK("https://rhld.insurance.arkansas.gov/NPILookup?Npi=1659364545","1659364545")</f>
        <v>1659364545</v>
      </c>
      <c r="E4352" t="s">
        <v>2968</v>
      </c>
      <c r="F4352" t="s">
        <v>13</v>
      </c>
      <c r="G4352" s="20">
        <v>1</v>
      </c>
      <c r="H4352" t="s">
        <v>3403</v>
      </c>
      <c r="I4352" t="s">
        <v>4357</v>
      </c>
      <c r="J4352" s="9">
        <v>54321</v>
      </c>
      <c r="K4352" s="9" t="s">
        <v>23</v>
      </c>
      <c r="L4352" s="9"/>
    </row>
    <row r="4353" spans="2:12" ht="15" x14ac:dyDescent="0.25">
      <c r="B4353" t="s">
        <v>3400</v>
      </c>
      <c r="C4353" t="s">
        <v>3401</v>
      </c>
      <c r="D4353" t="str">
        <f>HYPERLINK("https://rhld.insurance.arkansas.gov/NPILookup?Npi=1659387181","1659387181")</f>
        <v>1659387181</v>
      </c>
      <c r="E4353" t="s">
        <v>2971</v>
      </c>
      <c r="F4353" t="s">
        <v>12</v>
      </c>
      <c r="G4353" s="20">
        <v>1</v>
      </c>
      <c r="H4353" t="s">
        <v>4338</v>
      </c>
      <c r="I4353" t="s">
        <v>32</v>
      </c>
      <c r="J4353" s="9">
        <v>54321</v>
      </c>
      <c r="K4353" s="9" t="s">
        <v>23</v>
      </c>
      <c r="L4353" s="9"/>
    </row>
    <row r="4354" spans="2:12" ht="15" x14ac:dyDescent="0.25">
      <c r="B4354" t="s">
        <v>3400</v>
      </c>
      <c r="C4354" t="s">
        <v>3401</v>
      </c>
      <c r="D4354" t="str">
        <f>HYPERLINK("https://rhld.insurance.arkansas.gov/NPILookup?Npi=1659448868","1659448868")</f>
        <v>1659448868</v>
      </c>
      <c r="E4354" t="s">
        <v>3911</v>
      </c>
      <c r="F4354" t="s">
        <v>13</v>
      </c>
      <c r="G4354" s="20">
        <v>1</v>
      </c>
      <c r="H4354" t="s">
        <v>3403</v>
      </c>
      <c r="I4354" t="s">
        <v>32</v>
      </c>
      <c r="J4354" s="9">
        <v>54321</v>
      </c>
      <c r="K4354" s="9" t="s">
        <v>23</v>
      </c>
      <c r="L4354" s="9"/>
    </row>
    <row r="4355" spans="2:12" ht="15" x14ac:dyDescent="0.25">
      <c r="B4355" t="s">
        <v>3400</v>
      </c>
      <c r="C4355" t="s">
        <v>3401</v>
      </c>
      <c r="D4355" t="str">
        <f>HYPERLINK("https://rhld.insurance.arkansas.gov/NPILookup?Npi=1659639664","1659639664")</f>
        <v>1659639664</v>
      </c>
      <c r="E4355" t="s">
        <v>3912</v>
      </c>
      <c r="F4355" t="s">
        <v>12</v>
      </c>
      <c r="G4355" s="20">
        <v>1</v>
      </c>
      <c r="H4355" t="s">
        <v>4338</v>
      </c>
      <c r="I4355" t="s">
        <v>32</v>
      </c>
      <c r="J4355" s="9">
        <v>54321</v>
      </c>
      <c r="K4355" s="9" t="s">
        <v>23</v>
      </c>
      <c r="L4355" s="9"/>
    </row>
    <row r="4356" spans="2:12" ht="15" x14ac:dyDescent="0.25">
      <c r="B4356" t="s">
        <v>3400</v>
      </c>
      <c r="C4356" t="s">
        <v>3401</v>
      </c>
      <c r="D4356" t="str">
        <f>HYPERLINK("https://rhld.insurance.arkansas.gov/NPILookup?Npi=1659641496","1659641496")</f>
        <v>1659641496</v>
      </c>
      <c r="E4356" t="s">
        <v>3913</v>
      </c>
      <c r="F4356" t="s">
        <v>13</v>
      </c>
      <c r="G4356" s="20">
        <v>1</v>
      </c>
      <c r="H4356" t="s">
        <v>3403</v>
      </c>
      <c r="I4356" t="s">
        <v>32</v>
      </c>
      <c r="J4356" s="9">
        <v>54321</v>
      </c>
      <c r="K4356" s="9" t="s">
        <v>23</v>
      </c>
      <c r="L4356" s="9"/>
    </row>
    <row r="4357" spans="2:12" ht="15" x14ac:dyDescent="0.25">
      <c r="B4357" t="s">
        <v>3400</v>
      </c>
      <c r="C4357" t="s">
        <v>3401</v>
      </c>
      <c r="D4357" t="str">
        <f>HYPERLINK("https://rhld.insurance.arkansas.gov/NPILookup?Npi=1659760635","1659760635")</f>
        <v>1659760635</v>
      </c>
      <c r="E4357" t="s">
        <v>3914</v>
      </c>
      <c r="F4357" t="s">
        <v>13</v>
      </c>
      <c r="G4357" s="20">
        <v>1</v>
      </c>
      <c r="H4357" t="s">
        <v>3403</v>
      </c>
      <c r="I4357" t="s">
        <v>32</v>
      </c>
      <c r="J4357" s="9">
        <v>54321</v>
      </c>
      <c r="K4357" s="9" t="s">
        <v>23</v>
      </c>
      <c r="L4357" s="9"/>
    </row>
    <row r="4358" spans="2:12" ht="15" x14ac:dyDescent="0.25">
      <c r="B4358" t="s">
        <v>3400</v>
      </c>
      <c r="C4358" t="s">
        <v>3401</v>
      </c>
      <c r="D4358" t="str">
        <f>HYPERLINK("https://rhld.insurance.arkansas.gov/NPILookup?Npi=1659762144","1659762144")</f>
        <v>1659762144</v>
      </c>
      <c r="E4358" t="s">
        <v>3915</v>
      </c>
      <c r="F4358" t="s">
        <v>13</v>
      </c>
      <c r="G4358" s="20">
        <v>1</v>
      </c>
      <c r="H4358" t="s">
        <v>3403</v>
      </c>
      <c r="I4358" t="s">
        <v>32</v>
      </c>
      <c r="J4358" s="9">
        <v>54321</v>
      </c>
      <c r="K4358" s="9" t="s">
        <v>23</v>
      </c>
      <c r="L4358" s="9"/>
    </row>
    <row r="4359" spans="2:12" ht="15" x14ac:dyDescent="0.25">
      <c r="B4359" t="s">
        <v>3400</v>
      </c>
      <c r="C4359" t="s">
        <v>3401</v>
      </c>
      <c r="D4359" t="str">
        <f>HYPERLINK("https://rhld.insurance.arkansas.gov/NPILookup?Npi=1659888188","1659888188")</f>
        <v>1659888188</v>
      </c>
      <c r="E4359" t="s">
        <v>3916</v>
      </c>
      <c r="F4359" t="s">
        <v>13</v>
      </c>
      <c r="G4359" s="20">
        <v>1</v>
      </c>
      <c r="H4359" t="s">
        <v>3403</v>
      </c>
      <c r="I4359" t="s">
        <v>32</v>
      </c>
      <c r="J4359" s="9">
        <v>54321</v>
      </c>
      <c r="K4359" s="9" t="s">
        <v>23</v>
      </c>
      <c r="L4359" s="9"/>
    </row>
    <row r="4360" spans="2:12" ht="15" x14ac:dyDescent="0.25">
      <c r="B4360" t="s">
        <v>3400</v>
      </c>
      <c r="C4360" t="s">
        <v>3401</v>
      </c>
      <c r="D4360" t="str">
        <f>HYPERLINK("https://rhld.insurance.arkansas.gov/NPILookup?Npi=1659948651","1659948651")</f>
        <v>1659948651</v>
      </c>
      <c r="E4360" t="s">
        <v>2976</v>
      </c>
      <c r="F4360" t="s">
        <v>13</v>
      </c>
      <c r="G4360" s="20">
        <v>1</v>
      </c>
      <c r="H4360" t="s">
        <v>4357</v>
      </c>
      <c r="I4360" t="s">
        <v>4357</v>
      </c>
      <c r="J4360" s="9">
        <v>54321</v>
      </c>
      <c r="K4360" s="9" t="s">
        <v>23</v>
      </c>
      <c r="L4360" s="9"/>
    </row>
    <row r="4361" spans="2:12" ht="15" x14ac:dyDescent="0.25">
      <c r="B4361" t="s">
        <v>3400</v>
      </c>
      <c r="C4361" t="s">
        <v>3401</v>
      </c>
      <c r="D4361" t="str">
        <f>HYPERLINK("https://rhld.insurance.arkansas.gov/NPILookup?Npi=1669205308","1669205308")</f>
        <v>1669205308</v>
      </c>
      <c r="E4361" t="s">
        <v>2090</v>
      </c>
      <c r="F4361" t="s">
        <v>13</v>
      </c>
      <c r="G4361" s="20">
        <v>1</v>
      </c>
      <c r="H4361" t="s">
        <v>4357</v>
      </c>
      <c r="I4361" t="s">
        <v>4357</v>
      </c>
      <c r="J4361" s="9">
        <v>54321</v>
      </c>
      <c r="K4361" s="9" t="s">
        <v>23</v>
      </c>
      <c r="L4361" s="9"/>
    </row>
    <row r="4362" spans="2:12" ht="15" x14ac:dyDescent="0.25">
      <c r="B4362" t="s">
        <v>3400</v>
      </c>
      <c r="C4362" t="s">
        <v>3401</v>
      </c>
      <c r="D4362" t="str">
        <f>HYPERLINK("https://rhld.insurance.arkansas.gov/NPILookup?Npi=1669277646","1669277646")</f>
        <v>1669277646</v>
      </c>
      <c r="E4362" t="s">
        <v>1776</v>
      </c>
      <c r="F4362" t="s">
        <v>13</v>
      </c>
      <c r="G4362" s="20">
        <v>1</v>
      </c>
      <c r="H4362" t="s">
        <v>4357</v>
      </c>
      <c r="I4362" t="s">
        <v>4357</v>
      </c>
      <c r="J4362" s="9">
        <v>54321</v>
      </c>
      <c r="K4362" s="9" t="s">
        <v>23</v>
      </c>
      <c r="L4362" s="9"/>
    </row>
    <row r="4363" spans="2:12" ht="15" x14ac:dyDescent="0.25">
      <c r="B4363" t="s">
        <v>3400</v>
      </c>
      <c r="C4363" t="s">
        <v>3401</v>
      </c>
      <c r="D4363" t="str">
        <f>HYPERLINK("https://rhld.insurance.arkansas.gov/NPILookup?Npi=1669430682","1669430682")</f>
        <v>1669430682</v>
      </c>
      <c r="E4363" t="s">
        <v>3917</v>
      </c>
      <c r="F4363" t="s">
        <v>13</v>
      </c>
      <c r="G4363" s="20">
        <v>1</v>
      </c>
      <c r="H4363" t="s">
        <v>3403</v>
      </c>
      <c r="I4363" t="s">
        <v>32</v>
      </c>
      <c r="J4363" s="9">
        <v>54321</v>
      </c>
      <c r="K4363" s="9" t="s">
        <v>23</v>
      </c>
      <c r="L4363" s="9"/>
    </row>
    <row r="4364" spans="2:12" ht="15" x14ac:dyDescent="0.25">
      <c r="B4364" t="s">
        <v>3400</v>
      </c>
      <c r="C4364" t="s">
        <v>3401</v>
      </c>
      <c r="D4364" t="str">
        <f>HYPERLINK("https://rhld.insurance.arkansas.gov/NPILookup?Npi=1669465795","1669465795")</f>
        <v>1669465795</v>
      </c>
      <c r="E4364" t="s">
        <v>2980</v>
      </c>
      <c r="F4364" t="s">
        <v>13</v>
      </c>
      <c r="G4364" s="20">
        <v>1</v>
      </c>
      <c r="H4364" t="s">
        <v>3403</v>
      </c>
      <c r="I4364" t="s">
        <v>4357</v>
      </c>
      <c r="J4364" s="9">
        <v>54321</v>
      </c>
      <c r="K4364" s="9" t="s">
        <v>23</v>
      </c>
      <c r="L4364" s="9"/>
    </row>
    <row r="4365" spans="2:12" ht="15" x14ac:dyDescent="0.25">
      <c r="B4365" t="s">
        <v>3400</v>
      </c>
      <c r="C4365" t="s">
        <v>3401</v>
      </c>
      <c r="D4365" t="str">
        <f>HYPERLINK("https://rhld.insurance.arkansas.gov/NPILookup?Npi=1669525275","1669525275")</f>
        <v>1669525275</v>
      </c>
      <c r="E4365" t="s">
        <v>3918</v>
      </c>
      <c r="F4365" t="s">
        <v>13</v>
      </c>
      <c r="G4365" s="20">
        <v>1</v>
      </c>
      <c r="H4365" t="s">
        <v>3403</v>
      </c>
      <c r="I4365" t="s">
        <v>4357</v>
      </c>
      <c r="J4365" s="9">
        <v>54321</v>
      </c>
      <c r="K4365" s="9" t="s">
        <v>23</v>
      </c>
      <c r="L4365" s="9"/>
    </row>
    <row r="4366" spans="2:12" ht="15" x14ac:dyDescent="0.25">
      <c r="B4366" t="s">
        <v>3400</v>
      </c>
      <c r="C4366" t="s">
        <v>3401</v>
      </c>
      <c r="D4366" t="str">
        <f>HYPERLINK("https://rhld.insurance.arkansas.gov/NPILookup?Npi=1669658837","1669658837")</f>
        <v>1669658837</v>
      </c>
      <c r="E4366" t="s">
        <v>3919</v>
      </c>
      <c r="F4366" t="s">
        <v>13</v>
      </c>
      <c r="G4366" s="20">
        <v>1</v>
      </c>
      <c r="H4366" t="s">
        <v>3403</v>
      </c>
      <c r="I4366" t="s">
        <v>32</v>
      </c>
      <c r="J4366" s="9">
        <v>54321</v>
      </c>
      <c r="K4366" s="9" t="s">
        <v>23</v>
      </c>
      <c r="L4366" s="9"/>
    </row>
    <row r="4367" spans="2:12" ht="15" x14ac:dyDescent="0.25">
      <c r="B4367" t="s">
        <v>3400</v>
      </c>
      <c r="C4367" t="s">
        <v>3401</v>
      </c>
      <c r="D4367" t="str">
        <f>HYPERLINK("https://rhld.insurance.arkansas.gov/NPILookup?Npi=1669669446","1669669446")</f>
        <v>1669669446</v>
      </c>
      <c r="E4367" t="s">
        <v>3920</v>
      </c>
      <c r="F4367" t="s">
        <v>13</v>
      </c>
      <c r="G4367" s="20">
        <v>1</v>
      </c>
      <c r="H4367" t="s">
        <v>3403</v>
      </c>
      <c r="I4367" t="s">
        <v>4357</v>
      </c>
      <c r="J4367" s="9">
        <v>54321</v>
      </c>
      <c r="K4367" s="9" t="s">
        <v>23</v>
      </c>
      <c r="L4367" s="9"/>
    </row>
    <row r="4368" spans="2:12" ht="15" x14ac:dyDescent="0.25">
      <c r="B4368" t="s">
        <v>3400</v>
      </c>
      <c r="C4368" t="s">
        <v>3401</v>
      </c>
      <c r="D4368" t="str">
        <f>HYPERLINK("https://rhld.insurance.arkansas.gov/NPILookup?Npi=1669758777","1669758777")</f>
        <v>1669758777</v>
      </c>
      <c r="E4368" t="s">
        <v>3921</v>
      </c>
      <c r="F4368" t="s">
        <v>13</v>
      </c>
      <c r="G4368" s="20">
        <v>1</v>
      </c>
      <c r="H4368" t="s">
        <v>3403</v>
      </c>
      <c r="I4368" t="s">
        <v>32</v>
      </c>
      <c r="J4368" s="9">
        <v>54321</v>
      </c>
      <c r="K4368" s="9" t="s">
        <v>23</v>
      </c>
      <c r="L4368" s="9"/>
    </row>
    <row r="4369" spans="2:12" ht="15" x14ac:dyDescent="0.25">
      <c r="B4369" t="s">
        <v>3400</v>
      </c>
      <c r="C4369" t="s">
        <v>3401</v>
      </c>
      <c r="D4369" t="str">
        <f>HYPERLINK("https://rhld.insurance.arkansas.gov/NPILookup?Npi=1669867099","1669867099")</f>
        <v>1669867099</v>
      </c>
      <c r="E4369" t="s">
        <v>3922</v>
      </c>
      <c r="F4369" t="s">
        <v>13</v>
      </c>
      <c r="G4369" s="20">
        <v>1</v>
      </c>
      <c r="H4369" t="s">
        <v>3403</v>
      </c>
      <c r="I4369" t="s">
        <v>32</v>
      </c>
      <c r="J4369" s="9">
        <v>54321</v>
      </c>
      <c r="K4369" s="9" t="s">
        <v>23</v>
      </c>
      <c r="L4369" s="9"/>
    </row>
    <row r="4370" spans="2:12" ht="15" x14ac:dyDescent="0.25">
      <c r="B4370" t="s">
        <v>3400</v>
      </c>
      <c r="C4370" t="s">
        <v>3401</v>
      </c>
      <c r="D4370" t="str">
        <f>HYPERLINK("https://rhld.insurance.arkansas.gov/NPILookup?Npi=1669886594","1669886594")</f>
        <v>1669886594</v>
      </c>
      <c r="E4370" t="s">
        <v>2985</v>
      </c>
      <c r="F4370" t="s">
        <v>13</v>
      </c>
      <c r="G4370" s="20">
        <v>1</v>
      </c>
      <c r="H4370" t="s">
        <v>3403</v>
      </c>
      <c r="I4370" t="s">
        <v>4357</v>
      </c>
      <c r="J4370" s="9">
        <v>54321</v>
      </c>
      <c r="K4370" s="9" t="s">
        <v>23</v>
      </c>
      <c r="L4370" s="9"/>
    </row>
    <row r="4371" spans="2:12" ht="15" x14ac:dyDescent="0.25">
      <c r="B4371" t="s">
        <v>3400</v>
      </c>
      <c r="C4371" t="s">
        <v>3401</v>
      </c>
      <c r="D4371" t="str">
        <f>HYPERLINK("https://rhld.insurance.arkansas.gov/NPILookup?Npi=1679076764","1679076764")</f>
        <v>1679076764</v>
      </c>
      <c r="E4371" t="s">
        <v>3923</v>
      </c>
      <c r="F4371" t="s">
        <v>13</v>
      </c>
      <c r="G4371" s="20">
        <v>1</v>
      </c>
      <c r="H4371" t="s">
        <v>3403</v>
      </c>
      <c r="I4371" t="s">
        <v>4357</v>
      </c>
      <c r="J4371" s="9">
        <v>54321</v>
      </c>
      <c r="K4371" s="9" t="s">
        <v>23</v>
      </c>
      <c r="L4371" s="9"/>
    </row>
    <row r="4372" spans="2:12" ht="15" x14ac:dyDescent="0.25">
      <c r="B4372" t="s">
        <v>3400</v>
      </c>
      <c r="C4372" t="s">
        <v>3401</v>
      </c>
      <c r="D4372" t="str">
        <f>HYPERLINK("https://rhld.insurance.arkansas.gov/NPILookup?Npi=1679133888","1679133888")</f>
        <v>1679133888</v>
      </c>
      <c r="E4372" t="s">
        <v>2988</v>
      </c>
      <c r="F4372" t="s">
        <v>13</v>
      </c>
      <c r="G4372" s="20">
        <v>1</v>
      </c>
      <c r="H4372" t="s">
        <v>4357</v>
      </c>
      <c r="I4372" t="s">
        <v>4357</v>
      </c>
      <c r="J4372" s="9">
        <v>54321</v>
      </c>
      <c r="K4372" s="9" t="s">
        <v>23</v>
      </c>
      <c r="L4372" s="9"/>
    </row>
    <row r="4373" spans="2:12" ht="15" x14ac:dyDescent="0.25">
      <c r="B4373" t="s">
        <v>3400</v>
      </c>
      <c r="C4373" t="s">
        <v>3401</v>
      </c>
      <c r="D4373" t="str">
        <f>HYPERLINK("https://rhld.insurance.arkansas.gov/NPILookup?Npi=1679141626","1679141626")</f>
        <v>1679141626</v>
      </c>
      <c r="E4373" t="s">
        <v>2989</v>
      </c>
      <c r="F4373" t="s">
        <v>13</v>
      </c>
      <c r="G4373" s="20">
        <v>1</v>
      </c>
      <c r="H4373" t="s">
        <v>3403</v>
      </c>
      <c r="I4373" t="s">
        <v>4357</v>
      </c>
      <c r="J4373" s="9">
        <v>54321</v>
      </c>
      <c r="K4373" s="9" t="s">
        <v>23</v>
      </c>
      <c r="L4373" s="9"/>
    </row>
    <row r="4374" spans="2:12" ht="15" x14ac:dyDescent="0.25">
      <c r="B4374" t="s">
        <v>3400</v>
      </c>
      <c r="C4374" t="s">
        <v>3401</v>
      </c>
      <c r="D4374" t="str">
        <f>HYPERLINK("https://rhld.insurance.arkansas.gov/NPILookup?Npi=1679279210","1679279210")</f>
        <v>1679279210</v>
      </c>
      <c r="E4374" t="s">
        <v>3924</v>
      </c>
      <c r="F4374" t="s">
        <v>13</v>
      </c>
      <c r="G4374" s="20">
        <v>1</v>
      </c>
      <c r="H4374" t="s">
        <v>3403</v>
      </c>
      <c r="I4374" t="s">
        <v>4357</v>
      </c>
      <c r="J4374" s="9">
        <v>54321</v>
      </c>
      <c r="K4374" s="9" t="s">
        <v>23</v>
      </c>
      <c r="L4374" s="9"/>
    </row>
    <row r="4375" spans="2:12" ht="15" x14ac:dyDescent="0.25">
      <c r="B4375" t="s">
        <v>3400</v>
      </c>
      <c r="C4375" t="s">
        <v>3401</v>
      </c>
      <c r="D4375" t="str">
        <f>HYPERLINK("https://rhld.insurance.arkansas.gov/NPILookup?Npi=1679509707","1679509707")</f>
        <v>1679509707</v>
      </c>
      <c r="E4375" t="s">
        <v>2991</v>
      </c>
      <c r="F4375" t="s">
        <v>13</v>
      </c>
      <c r="G4375" s="20">
        <v>1</v>
      </c>
      <c r="H4375" t="s">
        <v>3403</v>
      </c>
      <c r="I4375" t="s">
        <v>4357</v>
      </c>
      <c r="J4375" s="9">
        <v>54321</v>
      </c>
      <c r="K4375" s="9" t="s">
        <v>23</v>
      </c>
      <c r="L4375" s="9"/>
    </row>
    <row r="4376" spans="2:12" ht="15" x14ac:dyDescent="0.25">
      <c r="B4376" t="s">
        <v>3400</v>
      </c>
      <c r="C4376" t="s">
        <v>3401</v>
      </c>
      <c r="D4376" t="str">
        <f>HYPERLINK("https://rhld.insurance.arkansas.gov/NPILookup?Npi=1679547608","1679547608")</f>
        <v>1679547608</v>
      </c>
      <c r="E4376" t="s">
        <v>3925</v>
      </c>
      <c r="F4376" t="s">
        <v>13</v>
      </c>
      <c r="G4376" s="20">
        <v>1</v>
      </c>
      <c r="H4376" t="s">
        <v>3403</v>
      </c>
      <c r="I4376" t="s">
        <v>32</v>
      </c>
      <c r="J4376" s="9">
        <v>54321</v>
      </c>
      <c r="K4376" s="9" t="s">
        <v>23</v>
      </c>
      <c r="L4376" s="9"/>
    </row>
    <row r="4377" spans="2:12" ht="15" x14ac:dyDescent="0.25">
      <c r="B4377" t="s">
        <v>3400</v>
      </c>
      <c r="C4377" t="s">
        <v>3401</v>
      </c>
      <c r="D4377" t="str">
        <f>HYPERLINK("https://rhld.insurance.arkansas.gov/NPILookup?Npi=1679577381","1679577381")</f>
        <v>1679577381</v>
      </c>
      <c r="E4377" t="s">
        <v>3926</v>
      </c>
      <c r="F4377" t="s">
        <v>13</v>
      </c>
      <c r="G4377" s="20">
        <v>1</v>
      </c>
      <c r="H4377" t="s">
        <v>3403</v>
      </c>
      <c r="I4377" t="s">
        <v>32</v>
      </c>
      <c r="J4377" s="9">
        <v>54321</v>
      </c>
      <c r="K4377" s="9" t="s">
        <v>23</v>
      </c>
      <c r="L4377" s="9"/>
    </row>
    <row r="4378" spans="2:12" ht="15" x14ac:dyDescent="0.25">
      <c r="B4378" t="s">
        <v>3400</v>
      </c>
      <c r="C4378" t="s">
        <v>3401</v>
      </c>
      <c r="D4378" t="str">
        <f>HYPERLINK("https://rhld.insurance.arkansas.gov/NPILookup?Npi=1679949457","1679949457")</f>
        <v>1679949457</v>
      </c>
      <c r="E4378" t="s">
        <v>3927</v>
      </c>
      <c r="F4378" t="s">
        <v>13</v>
      </c>
      <c r="G4378" s="20">
        <v>1</v>
      </c>
      <c r="H4378" t="s">
        <v>3403</v>
      </c>
      <c r="I4378" t="s">
        <v>32</v>
      </c>
      <c r="J4378" s="9">
        <v>54321</v>
      </c>
      <c r="K4378" s="9" t="s">
        <v>4639</v>
      </c>
      <c r="L4378" s="9"/>
    </row>
    <row r="4379" spans="2:12" ht="15" x14ac:dyDescent="0.25">
      <c r="B4379" t="s">
        <v>3400</v>
      </c>
      <c r="C4379" t="s">
        <v>3401</v>
      </c>
      <c r="D4379" t="str">
        <f>HYPERLINK("https://rhld.insurance.arkansas.gov/NPILookup?Npi=1689021834","1689021834")</f>
        <v>1689021834</v>
      </c>
      <c r="E4379" t="s">
        <v>3928</v>
      </c>
      <c r="F4379" t="s">
        <v>13</v>
      </c>
      <c r="G4379" s="20">
        <v>1</v>
      </c>
      <c r="H4379" t="s">
        <v>3403</v>
      </c>
      <c r="I4379" t="s">
        <v>32</v>
      </c>
      <c r="J4379" s="9">
        <v>54321</v>
      </c>
      <c r="K4379" s="9" t="s">
        <v>23</v>
      </c>
      <c r="L4379" s="9"/>
    </row>
    <row r="4380" spans="2:12" ht="15" x14ac:dyDescent="0.25">
      <c r="B4380" t="s">
        <v>3400</v>
      </c>
      <c r="C4380" t="s">
        <v>3401</v>
      </c>
      <c r="D4380" t="str">
        <f>HYPERLINK("https://rhld.insurance.arkansas.gov/NPILookup?Npi=1689080384","1689080384")</f>
        <v>1689080384</v>
      </c>
      <c r="E4380" t="s">
        <v>3929</v>
      </c>
      <c r="F4380" t="s">
        <v>13</v>
      </c>
      <c r="G4380" s="20">
        <v>1</v>
      </c>
      <c r="H4380" t="s">
        <v>3403</v>
      </c>
      <c r="I4380" t="s">
        <v>32</v>
      </c>
      <c r="J4380" s="9">
        <v>54321</v>
      </c>
      <c r="K4380" s="9" t="s">
        <v>23</v>
      </c>
      <c r="L4380" s="9"/>
    </row>
    <row r="4381" spans="2:12" ht="15" x14ac:dyDescent="0.25">
      <c r="B4381" t="s">
        <v>3400</v>
      </c>
      <c r="C4381" t="s">
        <v>3401</v>
      </c>
      <c r="D4381" t="str">
        <f>HYPERLINK("https://rhld.insurance.arkansas.gov/NPILookup?Npi=1689133134","1689133134")</f>
        <v>1689133134</v>
      </c>
      <c r="E4381" t="s">
        <v>3930</v>
      </c>
      <c r="F4381" t="s">
        <v>13</v>
      </c>
      <c r="G4381" s="20">
        <v>1</v>
      </c>
      <c r="H4381" t="s">
        <v>3403</v>
      </c>
      <c r="I4381" t="s">
        <v>4357</v>
      </c>
      <c r="J4381" s="9">
        <v>54321</v>
      </c>
      <c r="K4381" s="9" t="s">
        <v>23</v>
      </c>
      <c r="L4381" s="9"/>
    </row>
    <row r="4382" spans="2:12" ht="15" x14ac:dyDescent="0.25">
      <c r="B4382" t="s">
        <v>3400</v>
      </c>
      <c r="C4382" t="s">
        <v>3401</v>
      </c>
      <c r="D4382" t="str">
        <f>HYPERLINK("https://rhld.insurance.arkansas.gov/NPILookup?Npi=1689165375","1689165375")</f>
        <v>1689165375</v>
      </c>
      <c r="E4382" t="s">
        <v>3931</v>
      </c>
      <c r="F4382" t="s">
        <v>12</v>
      </c>
      <c r="G4382" s="20">
        <v>1</v>
      </c>
      <c r="H4382" t="s">
        <v>4338</v>
      </c>
      <c r="I4382" t="s">
        <v>32</v>
      </c>
      <c r="J4382" s="9">
        <v>54321</v>
      </c>
      <c r="K4382" s="9" t="s">
        <v>23</v>
      </c>
      <c r="L4382" s="9"/>
    </row>
    <row r="4383" spans="2:12" ht="15" x14ac:dyDescent="0.25">
      <c r="B4383" t="s">
        <v>3400</v>
      </c>
      <c r="C4383" t="s">
        <v>3401</v>
      </c>
      <c r="D4383" t="str">
        <f>HYPERLINK("https://rhld.insurance.arkansas.gov/NPILookup?Npi=1689358798","1689358798")</f>
        <v>1689358798</v>
      </c>
      <c r="E4383" t="s">
        <v>3004</v>
      </c>
      <c r="F4383" t="s">
        <v>13</v>
      </c>
      <c r="G4383" s="20">
        <v>1</v>
      </c>
      <c r="H4383" t="s">
        <v>4357</v>
      </c>
      <c r="I4383" t="s">
        <v>4357</v>
      </c>
      <c r="J4383" s="9">
        <v>54321</v>
      </c>
      <c r="K4383" s="9" t="s">
        <v>23</v>
      </c>
      <c r="L4383" s="9"/>
    </row>
    <row r="4384" spans="2:12" ht="15" x14ac:dyDescent="0.25">
      <c r="B4384" t="s">
        <v>3400</v>
      </c>
      <c r="C4384" t="s">
        <v>3401</v>
      </c>
      <c r="D4384" t="str">
        <f>HYPERLINK("https://rhld.insurance.arkansas.gov/NPILookup?Npi=1689400228","1689400228")</f>
        <v>1689400228</v>
      </c>
      <c r="E4384" t="s">
        <v>3005</v>
      </c>
      <c r="F4384" t="s">
        <v>13</v>
      </c>
      <c r="G4384" s="20">
        <v>1</v>
      </c>
      <c r="H4384" t="s">
        <v>4357</v>
      </c>
      <c r="I4384" t="s">
        <v>4357</v>
      </c>
      <c r="J4384" s="9">
        <v>54321</v>
      </c>
      <c r="K4384" s="9" t="s">
        <v>4641</v>
      </c>
      <c r="L4384" s="9"/>
    </row>
    <row r="4385" spans="2:12" ht="15" x14ac:dyDescent="0.25">
      <c r="B4385" t="s">
        <v>3400</v>
      </c>
      <c r="C4385" t="s">
        <v>3401</v>
      </c>
      <c r="D4385" t="str">
        <f>HYPERLINK("https://rhld.insurance.arkansas.gov/NPILookup?Npi=1689461071","1689461071")</f>
        <v>1689461071</v>
      </c>
      <c r="E4385" t="s">
        <v>3006</v>
      </c>
      <c r="F4385" t="s">
        <v>13</v>
      </c>
      <c r="G4385" s="20">
        <v>1</v>
      </c>
      <c r="H4385" t="s">
        <v>4357</v>
      </c>
      <c r="I4385" t="s">
        <v>4357</v>
      </c>
      <c r="J4385" s="9">
        <v>54321</v>
      </c>
      <c r="K4385" s="9" t="s">
        <v>23</v>
      </c>
      <c r="L4385" s="9"/>
    </row>
    <row r="4386" spans="2:12" ht="15" x14ac:dyDescent="0.25">
      <c r="B4386" t="s">
        <v>3400</v>
      </c>
      <c r="C4386" t="s">
        <v>3401</v>
      </c>
      <c r="D4386" t="str">
        <f>HYPERLINK("https://rhld.insurance.arkansas.gov/NPILookup?Npi=1689493181","1689493181")</f>
        <v>1689493181</v>
      </c>
      <c r="E4386" t="s">
        <v>3007</v>
      </c>
      <c r="F4386" t="s">
        <v>13</v>
      </c>
      <c r="G4386" s="20">
        <v>1</v>
      </c>
      <c r="H4386" t="s">
        <v>4357</v>
      </c>
      <c r="I4386" t="s">
        <v>4357</v>
      </c>
      <c r="J4386" s="9">
        <v>54321</v>
      </c>
      <c r="K4386" s="9" t="s">
        <v>23</v>
      </c>
      <c r="L4386" s="9"/>
    </row>
    <row r="4387" spans="2:12" ht="15" x14ac:dyDescent="0.25">
      <c r="B4387" t="s">
        <v>3400</v>
      </c>
      <c r="C4387" t="s">
        <v>3401</v>
      </c>
      <c r="D4387" t="str">
        <f>HYPERLINK("https://rhld.insurance.arkansas.gov/NPILookup?Npi=1689628323","1689628323")</f>
        <v>1689628323</v>
      </c>
      <c r="E4387" t="s">
        <v>771</v>
      </c>
      <c r="F4387" t="s">
        <v>13</v>
      </c>
      <c r="G4387" s="20">
        <v>1</v>
      </c>
      <c r="H4387" t="s">
        <v>3403</v>
      </c>
      <c r="I4387" t="s">
        <v>4357</v>
      </c>
      <c r="J4387" s="9">
        <v>54321</v>
      </c>
      <c r="K4387" s="9" t="s">
        <v>23</v>
      </c>
      <c r="L4387" s="9"/>
    </row>
    <row r="4388" spans="2:12" ht="15" x14ac:dyDescent="0.25">
      <c r="B4388" t="s">
        <v>3400</v>
      </c>
      <c r="C4388" t="s">
        <v>3401</v>
      </c>
      <c r="D4388" t="str">
        <f>HYPERLINK("https://rhld.insurance.arkansas.gov/NPILookup?Npi=1689644965","1689644965")</f>
        <v>1689644965</v>
      </c>
      <c r="E4388" t="s">
        <v>1073</v>
      </c>
      <c r="F4388" t="s">
        <v>12</v>
      </c>
      <c r="G4388" s="20">
        <v>1</v>
      </c>
      <c r="H4388" t="s">
        <v>4338</v>
      </c>
      <c r="I4388" t="s">
        <v>4357</v>
      </c>
      <c r="J4388" s="9">
        <v>54321</v>
      </c>
      <c r="K4388" s="9" t="s">
        <v>4639</v>
      </c>
      <c r="L4388" s="9"/>
    </row>
    <row r="4389" spans="2:12" ht="15" x14ac:dyDescent="0.25">
      <c r="B4389" t="s">
        <v>3400</v>
      </c>
      <c r="C4389" t="s">
        <v>3401</v>
      </c>
      <c r="D4389" t="str">
        <f>HYPERLINK("https://rhld.insurance.arkansas.gov/NPILookup?Npi=1689651911","1689651911")</f>
        <v>1689651911</v>
      </c>
      <c r="E4389" t="s">
        <v>3932</v>
      </c>
      <c r="F4389" t="s">
        <v>13</v>
      </c>
      <c r="G4389" s="20">
        <v>1</v>
      </c>
      <c r="H4389" t="s">
        <v>3403</v>
      </c>
      <c r="I4389" t="s">
        <v>32</v>
      </c>
      <c r="J4389" s="9">
        <v>54321</v>
      </c>
      <c r="K4389" s="9" t="s">
        <v>23</v>
      </c>
      <c r="L4389" s="9"/>
    </row>
    <row r="4390" spans="2:12" ht="15" x14ac:dyDescent="0.25">
      <c r="B4390" t="s">
        <v>3400</v>
      </c>
      <c r="C4390" t="s">
        <v>3401</v>
      </c>
      <c r="D4390" t="str">
        <f>HYPERLINK("https://rhld.insurance.arkansas.gov/NPILookup?Npi=1689761280","1689761280")</f>
        <v>1689761280</v>
      </c>
      <c r="E4390" t="s">
        <v>3009</v>
      </c>
      <c r="F4390" t="s">
        <v>13</v>
      </c>
      <c r="G4390" s="20">
        <v>1</v>
      </c>
      <c r="H4390" t="s">
        <v>3403</v>
      </c>
      <c r="I4390" t="s">
        <v>4357</v>
      </c>
      <c r="J4390" s="9">
        <v>54321</v>
      </c>
      <c r="K4390" s="9" t="s">
        <v>23</v>
      </c>
      <c r="L4390" s="9"/>
    </row>
    <row r="4391" spans="2:12" ht="15" x14ac:dyDescent="0.25">
      <c r="B4391" t="s">
        <v>3400</v>
      </c>
      <c r="C4391" t="s">
        <v>3401</v>
      </c>
      <c r="D4391" t="str">
        <f>HYPERLINK("https://rhld.insurance.arkansas.gov/NPILookup?Npi=1689800401","1689800401")</f>
        <v>1689800401</v>
      </c>
      <c r="E4391" t="s">
        <v>3933</v>
      </c>
      <c r="F4391" t="s">
        <v>13</v>
      </c>
      <c r="G4391" s="20">
        <v>1</v>
      </c>
      <c r="H4391" t="s">
        <v>4357</v>
      </c>
      <c r="I4391" t="s">
        <v>4357</v>
      </c>
      <c r="J4391" s="9">
        <v>54321</v>
      </c>
      <c r="K4391" s="9" t="s">
        <v>23</v>
      </c>
      <c r="L4391" s="9"/>
    </row>
    <row r="4392" spans="2:12" ht="15" x14ac:dyDescent="0.25">
      <c r="B4392" t="s">
        <v>3400</v>
      </c>
      <c r="C4392" t="s">
        <v>3401</v>
      </c>
      <c r="D4392" t="str">
        <f>HYPERLINK("https://rhld.insurance.arkansas.gov/NPILookup?Npi=1689893919","1689893919")</f>
        <v>1689893919</v>
      </c>
      <c r="E4392" t="s">
        <v>3934</v>
      </c>
      <c r="F4392" t="s">
        <v>12</v>
      </c>
      <c r="G4392" s="20">
        <v>1</v>
      </c>
      <c r="H4392" t="s">
        <v>4338</v>
      </c>
      <c r="I4392" t="s">
        <v>32</v>
      </c>
      <c r="J4392" s="9">
        <v>54321</v>
      </c>
      <c r="K4392" s="9" t="s">
        <v>23</v>
      </c>
      <c r="L4392" s="9"/>
    </row>
    <row r="4393" spans="2:12" ht="15" x14ac:dyDescent="0.25">
      <c r="B4393" t="s">
        <v>3400</v>
      </c>
      <c r="C4393" t="s">
        <v>3401</v>
      </c>
      <c r="D4393" t="str">
        <f>HYPERLINK("https://rhld.insurance.arkansas.gov/NPILookup?Npi=1689896763","1689896763")</f>
        <v>1689896763</v>
      </c>
      <c r="E4393" t="s">
        <v>3010</v>
      </c>
      <c r="F4393" t="s">
        <v>13</v>
      </c>
      <c r="G4393" s="20">
        <v>1</v>
      </c>
      <c r="H4393" t="s">
        <v>3403</v>
      </c>
      <c r="I4393" t="s">
        <v>4357</v>
      </c>
      <c r="J4393" s="9">
        <v>54321</v>
      </c>
      <c r="K4393" s="9" t="s">
        <v>23</v>
      </c>
      <c r="L4393" s="9"/>
    </row>
    <row r="4394" spans="2:12" ht="15" x14ac:dyDescent="0.25">
      <c r="B4394" t="s">
        <v>3400</v>
      </c>
      <c r="C4394" t="s">
        <v>3401</v>
      </c>
      <c r="D4394" t="str">
        <f>HYPERLINK("https://rhld.insurance.arkansas.gov/NPILookup?Npi=1699123562","1699123562")</f>
        <v>1699123562</v>
      </c>
      <c r="E4394" t="s">
        <v>3935</v>
      </c>
      <c r="F4394" t="s">
        <v>13</v>
      </c>
      <c r="G4394" s="20">
        <v>1</v>
      </c>
      <c r="H4394" t="s">
        <v>3403</v>
      </c>
      <c r="I4394" t="s">
        <v>32</v>
      </c>
      <c r="J4394" s="9">
        <v>54321</v>
      </c>
      <c r="K4394" s="9" t="s">
        <v>23</v>
      </c>
      <c r="L4394" s="9"/>
    </row>
    <row r="4395" spans="2:12" ht="15" x14ac:dyDescent="0.25">
      <c r="B4395" t="s">
        <v>3400</v>
      </c>
      <c r="C4395" t="s">
        <v>3401</v>
      </c>
      <c r="D4395" t="str">
        <f>HYPERLINK("https://rhld.insurance.arkansas.gov/NPILookup?Npi=1699282020","1699282020")</f>
        <v>1699282020</v>
      </c>
      <c r="E4395" t="s">
        <v>3015</v>
      </c>
      <c r="F4395" t="s">
        <v>13</v>
      </c>
      <c r="G4395" s="20">
        <v>1</v>
      </c>
      <c r="H4395" t="s">
        <v>4357</v>
      </c>
      <c r="I4395" t="s">
        <v>4357</v>
      </c>
      <c r="J4395" s="9">
        <v>54321</v>
      </c>
      <c r="K4395" s="9" t="s">
        <v>23</v>
      </c>
      <c r="L4395" s="9"/>
    </row>
    <row r="4396" spans="2:12" ht="15" x14ac:dyDescent="0.25">
      <c r="B4396" t="s">
        <v>3400</v>
      </c>
      <c r="C4396" t="s">
        <v>3401</v>
      </c>
      <c r="D4396" t="str">
        <f>HYPERLINK("https://rhld.insurance.arkansas.gov/NPILookup?Npi=1699282087","1699282087")</f>
        <v>1699282087</v>
      </c>
      <c r="E4396" t="s">
        <v>3936</v>
      </c>
      <c r="F4396" t="s">
        <v>13</v>
      </c>
      <c r="G4396" s="20">
        <v>1</v>
      </c>
      <c r="H4396" t="s">
        <v>3403</v>
      </c>
      <c r="I4396" t="s">
        <v>4357</v>
      </c>
      <c r="J4396" s="9">
        <v>54321</v>
      </c>
      <c r="K4396" s="9" t="s">
        <v>23</v>
      </c>
      <c r="L4396" s="9"/>
    </row>
    <row r="4397" spans="2:12" ht="15" x14ac:dyDescent="0.25">
      <c r="B4397" t="s">
        <v>3400</v>
      </c>
      <c r="C4397" t="s">
        <v>3401</v>
      </c>
      <c r="D4397" t="str">
        <f>HYPERLINK("https://rhld.insurance.arkansas.gov/NPILookup?Npi=1699310508","1699310508")</f>
        <v>1699310508</v>
      </c>
      <c r="E4397" t="s">
        <v>3016</v>
      </c>
      <c r="F4397" t="s">
        <v>13</v>
      </c>
      <c r="G4397" s="20">
        <v>1</v>
      </c>
      <c r="H4397" t="s">
        <v>3403</v>
      </c>
      <c r="I4397" t="s">
        <v>4357</v>
      </c>
      <c r="J4397" s="9">
        <v>54321</v>
      </c>
      <c r="K4397" s="9" t="s">
        <v>23</v>
      </c>
      <c r="L4397" s="9"/>
    </row>
    <row r="4398" spans="2:12" ht="15" x14ac:dyDescent="0.25">
      <c r="B4398" t="s">
        <v>3400</v>
      </c>
      <c r="C4398" t="s">
        <v>3401</v>
      </c>
      <c r="D4398" t="str">
        <f>HYPERLINK("https://rhld.insurance.arkansas.gov/NPILookup?Npi=1699576314","1699576314")</f>
        <v>1699576314</v>
      </c>
      <c r="E4398" t="s">
        <v>3017</v>
      </c>
      <c r="F4398" t="s">
        <v>13</v>
      </c>
      <c r="G4398" s="20">
        <v>1</v>
      </c>
      <c r="H4398" t="s">
        <v>4357</v>
      </c>
      <c r="I4398" t="s">
        <v>4357</v>
      </c>
      <c r="J4398" s="9">
        <v>54321</v>
      </c>
      <c r="K4398" s="9" t="s">
        <v>23</v>
      </c>
      <c r="L4398" s="9"/>
    </row>
    <row r="4399" spans="2:12" ht="15" x14ac:dyDescent="0.25">
      <c r="B4399" t="s">
        <v>3400</v>
      </c>
      <c r="C4399" t="s">
        <v>3401</v>
      </c>
      <c r="D4399" t="str">
        <f>HYPERLINK("https://rhld.insurance.arkansas.gov/NPILookup?Npi=1699702969","1699702969")</f>
        <v>1699702969</v>
      </c>
      <c r="E4399" t="s">
        <v>3018</v>
      </c>
      <c r="F4399" t="s">
        <v>13</v>
      </c>
      <c r="G4399" s="20">
        <v>1</v>
      </c>
      <c r="H4399" t="s">
        <v>3403</v>
      </c>
      <c r="I4399" t="s">
        <v>4357</v>
      </c>
      <c r="J4399" s="9">
        <v>54321</v>
      </c>
      <c r="K4399" s="9" t="s">
        <v>23</v>
      </c>
      <c r="L4399" s="9"/>
    </row>
    <row r="4400" spans="2:12" ht="15" x14ac:dyDescent="0.25">
      <c r="B4400" t="s">
        <v>3400</v>
      </c>
      <c r="C4400" t="s">
        <v>3401</v>
      </c>
      <c r="D4400" t="str">
        <f>HYPERLINK("https://rhld.insurance.arkansas.gov/NPILookup?Npi=1699741082","1699741082")</f>
        <v>1699741082</v>
      </c>
      <c r="E4400" t="s">
        <v>2920</v>
      </c>
      <c r="F4400" t="s">
        <v>13</v>
      </c>
      <c r="G4400" s="20">
        <v>1</v>
      </c>
      <c r="H4400" t="s">
        <v>3403</v>
      </c>
      <c r="I4400" t="s">
        <v>32</v>
      </c>
      <c r="J4400" s="9">
        <v>54321</v>
      </c>
      <c r="K4400" s="9" t="s">
        <v>23</v>
      </c>
      <c r="L4400" s="9"/>
    </row>
    <row r="4401" spans="2:12" ht="15" x14ac:dyDescent="0.25">
      <c r="B4401" t="s">
        <v>3400</v>
      </c>
      <c r="C4401" t="s">
        <v>3401</v>
      </c>
      <c r="D4401" t="str">
        <f>HYPERLINK("https://rhld.insurance.arkansas.gov/NPILookup?Npi=1699785899","1699785899")</f>
        <v>1699785899</v>
      </c>
      <c r="E4401" t="s">
        <v>3937</v>
      </c>
      <c r="F4401" t="s">
        <v>13</v>
      </c>
      <c r="G4401" s="20">
        <v>1</v>
      </c>
      <c r="H4401" t="s">
        <v>3403</v>
      </c>
      <c r="I4401" t="s">
        <v>32</v>
      </c>
      <c r="J4401" s="9">
        <v>54321</v>
      </c>
      <c r="K4401" s="9" t="s">
        <v>23</v>
      </c>
      <c r="L4401" s="9"/>
    </row>
    <row r="4402" spans="2:12" ht="15" x14ac:dyDescent="0.25">
      <c r="B4402" t="s">
        <v>3400</v>
      </c>
      <c r="C4402" t="s">
        <v>3401</v>
      </c>
      <c r="D4402" t="str">
        <f>HYPERLINK("https://rhld.insurance.arkansas.gov/NPILookup?Npi=1699796284","1699796284")</f>
        <v>1699796284</v>
      </c>
      <c r="E4402" t="s">
        <v>3021</v>
      </c>
      <c r="F4402" t="s">
        <v>13</v>
      </c>
      <c r="G4402" s="20">
        <v>1</v>
      </c>
      <c r="H4402" t="s">
        <v>3403</v>
      </c>
      <c r="I4402" t="s">
        <v>4357</v>
      </c>
      <c r="J4402" s="9">
        <v>54321</v>
      </c>
      <c r="K4402" s="9" t="s">
        <v>23</v>
      </c>
      <c r="L4402" s="9"/>
    </row>
    <row r="4403" spans="2:12" ht="15" x14ac:dyDescent="0.25">
      <c r="B4403" t="s">
        <v>3400</v>
      </c>
      <c r="C4403" t="s">
        <v>3401</v>
      </c>
      <c r="D4403" t="str">
        <f>HYPERLINK("https://rhld.insurance.arkansas.gov/NPILookup?Npi=1699981894","1699981894")</f>
        <v>1699981894</v>
      </c>
      <c r="E4403" t="s">
        <v>3938</v>
      </c>
      <c r="F4403" t="s">
        <v>13</v>
      </c>
      <c r="G4403" s="20">
        <v>1</v>
      </c>
      <c r="H4403" t="s">
        <v>3403</v>
      </c>
      <c r="I4403" t="s">
        <v>32</v>
      </c>
      <c r="J4403" s="9">
        <v>54321</v>
      </c>
      <c r="K4403" s="9" t="s">
        <v>23</v>
      </c>
      <c r="L4403" s="9"/>
    </row>
    <row r="4404" spans="2:12" ht="15" x14ac:dyDescent="0.25">
      <c r="B4404" t="s">
        <v>3400</v>
      </c>
      <c r="C4404" t="s">
        <v>3401</v>
      </c>
      <c r="D4404" t="str">
        <f>HYPERLINK("https://rhld.insurance.arkansas.gov/NPILookup?Npi=1700339256","1700339256")</f>
        <v>1700339256</v>
      </c>
      <c r="E4404" t="s">
        <v>3939</v>
      </c>
      <c r="F4404" t="s">
        <v>13</v>
      </c>
      <c r="G4404" s="20">
        <v>1</v>
      </c>
      <c r="H4404" t="s">
        <v>3403</v>
      </c>
      <c r="I4404" t="s">
        <v>32</v>
      </c>
      <c r="J4404" s="9">
        <v>54321</v>
      </c>
      <c r="K4404" s="9" t="s">
        <v>23</v>
      </c>
      <c r="L4404" s="9"/>
    </row>
    <row r="4405" spans="2:12" ht="15" x14ac:dyDescent="0.25">
      <c r="B4405" t="s">
        <v>3400</v>
      </c>
      <c r="C4405" t="s">
        <v>3401</v>
      </c>
      <c r="D4405" t="str">
        <f>HYPERLINK("https://rhld.insurance.arkansas.gov/NPILookup?Npi=1700405206","1700405206")</f>
        <v>1700405206</v>
      </c>
      <c r="E4405" t="s">
        <v>3940</v>
      </c>
      <c r="F4405" t="s">
        <v>13</v>
      </c>
      <c r="G4405" s="20">
        <v>1</v>
      </c>
      <c r="H4405" t="s">
        <v>4357</v>
      </c>
      <c r="I4405" t="s">
        <v>4357</v>
      </c>
      <c r="J4405" s="9">
        <v>54321</v>
      </c>
      <c r="K4405" s="9" t="s">
        <v>23</v>
      </c>
      <c r="L4405" s="9"/>
    </row>
    <row r="4406" spans="2:12" ht="15" x14ac:dyDescent="0.25">
      <c r="B4406" t="s">
        <v>3400</v>
      </c>
      <c r="C4406" t="s">
        <v>3401</v>
      </c>
      <c r="D4406" t="str">
        <f>HYPERLINK("https://rhld.insurance.arkansas.gov/NPILookup?Npi=1700417961","1700417961")</f>
        <v>1700417961</v>
      </c>
      <c r="E4406" t="s">
        <v>3941</v>
      </c>
      <c r="F4406" t="s">
        <v>13</v>
      </c>
      <c r="G4406" s="20">
        <v>1</v>
      </c>
      <c r="H4406" t="s">
        <v>3403</v>
      </c>
      <c r="I4406" t="s">
        <v>4357</v>
      </c>
      <c r="J4406" s="9">
        <v>54321</v>
      </c>
      <c r="K4406" s="9" t="s">
        <v>23</v>
      </c>
      <c r="L4406" s="9"/>
    </row>
    <row r="4407" spans="2:12" ht="15" x14ac:dyDescent="0.25">
      <c r="B4407" t="s">
        <v>3400</v>
      </c>
      <c r="C4407" t="s">
        <v>3401</v>
      </c>
      <c r="D4407" t="str">
        <f>HYPERLINK("https://rhld.insurance.arkansas.gov/NPILookup?Npi=1700467982","1700467982")</f>
        <v>1700467982</v>
      </c>
      <c r="E4407" t="s">
        <v>3942</v>
      </c>
      <c r="F4407" t="s">
        <v>13</v>
      </c>
      <c r="G4407" s="20">
        <v>1</v>
      </c>
      <c r="H4407" t="s">
        <v>4357</v>
      </c>
      <c r="I4407" t="s">
        <v>4357</v>
      </c>
      <c r="J4407" s="9">
        <v>54321</v>
      </c>
      <c r="K4407" s="9" t="s">
        <v>23</v>
      </c>
      <c r="L4407" s="9"/>
    </row>
    <row r="4408" spans="2:12" ht="15" x14ac:dyDescent="0.25">
      <c r="B4408" t="s">
        <v>3400</v>
      </c>
      <c r="C4408" t="s">
        <v>3401</v>
      </c>
      <c r="D4408" t="str">
        <f>HYPERLINK("https://rhld.insurance.arkansas.gov/NPILookup?Npi=1700471612","1700471612")</f>
        <v>1700471612</v>
      </c>
      <c r="E4408" t="s">
        <v>3943</v>
      </c>
      <c r="F4408" t="s">
        <v>13</v>
      </c>
      <c r="G4408" s="20">
        <v>1</v>
      </c>
      <c r="H4408" t="s">
        <v>3403</v>
      </c>
      <c r="I4408" t="s">
        <v>4357</v>
      </c>
      <c r="J4408" s="9">
        <v>54321</v>
      </c>
      <c r="K4408" s="9" t="s">
        <v>23</v>
      </c>
      <c r="L4408" s="9"/>
    </row>
    <row r="4409" spans="2:12" ht="15" x14ac:dyDescent="0.25">
      <c r="B4409" t="s">
        <v>3400</v>
      </c>
      <c r="C4409" t="s">
        <v>3401</v>
      </c>
      <c r="D4409" t="str">
        <f>HYPERLINK("https://rhld.insurance.arkansas.gov/NPILookup?Npi=1700487493","1700487493")</f>
        <v>1700487493</v>
      </c>
      <c r="E4409" t="s">
        <v>3944</v>
      </c>
      <c r="F4409" t="s">
        <v>13</v>
      </c>
      <c r="G4409" s="20">
        <v>1</v>
      </c>
      <c r="H4409" t="s">
        <v>3403</v>
      </c>
      <c r="I4409" t="s">
        <v>4357</v>
      </c>
      <c r="J4409" s="9">
        <v>54321</v>
      </c>
      <c r="K4409" s="9" t="s">
        <v>23</v>
      </c>
      <c r="L4409" s="9"/>
    </row>
    <row r="4410" spans="2:12" ht="15" x14ac:dyDescent="0.25">
      <c r="B4410" t="s">
        <v>3400</v>
      </c>
      <c r="C4410" t="s">
        <v>3401</v>
      </c>
      <c r="D4410" t="str">
        <f>HYPERLINK("https://rhld.insurance.arkansas.gov/NPILookup?Npi=1700563756","1700563756")</f>
        <v>1700563756</v>
      </c>
      <c r="E4410" t="s">
        <v>3945</v>
      </c>
      <c r="F4410" t="s">
        <v>13</v>
      </c>
      <c r="G4410" s="20">
        <v>1</v>
      </c>
      <c r="H4410" t="s">
        <v>3403</v>
      </c>
      <c r="I4410" t="s">
        <v>32</v>
      </c>
      <c r="J4410" s="9">
        <v>54321</v>
      </c>
      <c r="K4410" s="9" t="s">
        <v>4639</v>
      </c>
      <c r="L4410" s="9"/>
    </row>
    <row r="4411" spans="2:12" ht="15" x14ac:dyDescent="0.25">
      <c r="B4411" t="s">
        <v>3400</v>
      </c>
      <c r="C4411" t="s">
        <v>3401</v>
      </c>
      <c r="D4411" t="str">
        <f>HYPERLINK("https://rhld.insurance.arkansas.gov/NPILookup?Npi=1700655321","1700655321")</f>
        <v>1700655321</v>
      </c>
      <c r="E4411" t="s">
        <v>3946</v>
      </c>
      <c r="F4411" t="s">
        <v>13</v>
      </c>
      <c r="G4411" s="20">
        <v>1</v>
      </c>
      <c r="H4411" t="s">
        <v>3403</v>
      </c>
      <c r="I4411" t="s">
        <v>4357</v>
      </c>
      <c r="J4411" s="9">
        <v>54321</v>
      </c>
      <c r="K4411" s="9" t="s">
        <v>23</v>
      </c>
      <c r="L4411" s="9"/>
    </row>
    <row r="4412" spans="2:12" ht="15" x14ac:dyDescent="0.25">
      <c r="B4412" t="s">
        <v>3400</v>
      </c>
      <c r="C4412" t="s">
        <v>3401</v>
      </c>
      <c r="D4412" t="str">
        <f>HYPERLINK("https://rhld.insurance.arkansas.gov/NPILookup?Npi=1700692183","1700692183")</f>
        <v>1700692183</v>
      </c>
      <c r="E4412" t="s">
        <v>1791</v>
      </c>
      <c r="F4412" t="s">
        <v>13</v>
      </c>
      <c r="G4412" s="20">
        <v>1</v>
      </c>
      <c r="H4412" t="s">
        <v>4357</v>
      </c>
      <c r="I4412" t="s">
        <v>4357</v>
      </c>
      <c r="J4412" s="9">
        <v>54321</v>
      </c>
      <c r="K4412" s="9" t="s">
        <v>4639</v>
      </c>
      <c r="L4412" s="9"/>
    </row>
    <row r="4413" spans="2:12" ht="15" x14ac:dyDescent="0.25">
      <c r="B4413" t="s">
        <v>3400</v>
      </c>
      <c r="C4413" t="s">
        <v>3401</v>
      </c>
      <c r="D4413" t="str">
        <f>HYPERLINK("https://rhld.insurance.arkansas.gov/NPILookup?Npi=1700822368","1700822368")</f>
        <v>1700822368</v>
      </c>
      <c r="E4413" t="s">
        <v>3025</v>
      </c>
      <c r="F4413" t="s">
        <v>13</v>
      </c>
      <c r="G4413" s="20">
        <v>1</v>
      </c>
      <c r="H4413" t="s">
        <v>4357</v>
      </c>
      <c r="I4413" t="s">
        <v>4357</v>
      </c>
      <c r="J4413" s="9">
        <v>54321</v>
      </c>
      <c r="K4413" s="9" t="s">
        <v>23</v>
      </c>
      <c r="L4413" s="9"/>
    </row>
    <row r="4414" spans="2:12" ht="15" x14ac:dyDescent="0.25">
      <c r="B4414" t="s">
        <v>3400</v>
      </c>
      <c r="C4414" t="s">
        <v>3401</v>
      </c>
      <c r="D4414" t="str">
        <f>HYPERLINK("https://rhld.insurance.arkansas.gov/NPILookup?Npi=1700855921","1700855921")</f>
        <v>1700855921</v>
      </c>
      <c r="E4414" t="s">
        <v>3026</v>
      </c>
      <c r="F4414" t="s">
        <v>12</v>
      </c>
      <c r="G4414" s="20">
        <v>2</v>
      </c>
      <c r="H4414" t="s">
        <v>4354</v>
      </c>
      <c r="I4414" t="s">
        <v>32</v>
      </c>
      <c r="J4414" s="9">
        <v>54321</v>
      </c>
      <c r="K4414" s="9" t="s">
        <v>23</v>
      </c>
      <c r="L4414" s="9"/>
    </row>
    <row r="4415" spans="2:12" ht="15" x14ac:dyDescent="0.25">
      <c r="B4415" t="s">
        <v>3400</v>
      </c>
      <c r="C4415" t="s">
        <v>3401</v>
      </c>
      <c r="D4415" t="str">
        <f>HYPERLINK("https://rhld.insurance.arkansas.gov/NPILookup?Npi=1700892734","1700892734")</f>
        <v>1700892734</v>
      </c>
      <c r="E4415" t="s">
        <v>3947</v>
      </c>
      <c r="F4415" t="s">
        <v>13</v>
      </c>
      <c r="G4415" s="20">
        <v>1</v>
      </c>
      <c r="H4415" t="s">
        <v>3403</v>
      </c>
      <c r="I4415" t="s">
        <v>32</v>
      </c>
      <c r="J4415" s="9">
        <v>54321</v>
      </c>
      <c r="K4415" s="9" t="s">
        <v>23</v>
      </c>
      <c r="L4415" s="9"/>
    </row>
    <row r="4416" spans="2:12" ht="15" x14ac:dyDescent="0.25">
      <c r="B4416" t="s">
        <v>3400</v>
      </c>
      <c r="C4416" t="s">
        <v>3401</v>
      </c>
      <c r="D4416" t="str">
        <f>HYPERLINK("https://rhld.insurance.arkansas.gov/NPILookup?Npi=1710053327","1710053327")</f>
        <v>1710053327</v>
      </c>
      <c r="E4416" t="s">
        <v>3027</v>
      </c>
      <c r="F4416" t="s">
        <v>12</v>
      </c>
      <c r="G4416" s="20">
        <v>1</v>
      </c>
      <c r="H4416" t="s">
        <v>4338</v>
      </c>
      <c r="I4416" t="s">
        <v>4357</v>
      </c>
      <c r="J4416" s="9">
        <v>54321</v>
      </c>
      <c r="K4416" s="9" t="s">
        <v>23</v>
      </c>
      <c r="L4416" s="9"/>
    </row>
    <row r="4417" spans="2:12" ht="15" x14ac:dyDescent="0.25">
      <c r="B4417" t="s">
        <v>3400</v>
      </c>
      <c r="C4417" t="s">
        <v>3401</v>
      </c>
      <c r="D4417" t="str">
        <f>HYPERLINK("https://rhld.insurance.arkansas.gov/NPILookup?Npi=1710142864","1710142864")</f>
        <v>1710142864</v>
      </c>
      <c r="E4417" t="s">
        <v>3948</v>
      </c>
      <c r="F4417" t="s">
        <v>13</v>
      </c>
      <c r="G4417" s="20">
        <v>1</v>
      </c>
      <c r="H4417" t="s">
        <v>3403</v>
      </c>
      <c r="I4417" t="s">
        <v>4357</v>
      </c>
      <c r="J4417" s="9">
        <v>54321</v>
      </c>
      <c r="K4417" s="9" t="s">
        <v>23</v>
      </c>
      <c r="L4417" s="9"/>
    </row>
    <row r="4418" spans="2:12" ht="15" x14ac:dyDescent="0.25">
      <c r="B4418" t="s">
        <v>3400</v>
      </c>
      <c r="C4418" t="s">
        <v>3401</v>
      </c>
      <c r="D4418" t="str">
        <f>HYPERLINK("https://rhld.insurance.arkansas.gov/NPILookup?Npi=1710220959","1710220959")</f>
        <v>1710220959</v>
      </c>
      <c r="E4418" t="s">
        <v>3949</v>
      </c>
      <c r="F4418" t="s">
        <v>13</v>
      </c>
      <c r="G4418" s="20">
        <v>1</v>
      </c>
      <c r="H4418" t="s">
        <v>3403</v>
      </c>
      <c r="I4418" t="s">
        <v>32</v>
      </c>
      <c r="J4418" s="9">
        <v>54321</v>
      </c>
      <c r="K4418" s="9" t="s">
        <v>23</v>
      </c>
      <c r="L4418" s="9"/>
    </row>
    <row r="4419" spans="2:12" ht="15" x14ac:dyDescent="0.25">
      <c r="B4419" t="s">
        <v>3400</v>
      </c>
      <c r="C4419" t="s">
        <v>3401</v>
      </c>
      <c r="D4419" t="str">
        <f>HYPERLINK("https://rhld.insurance.arkansas.gov/NPILookup?Npi=1710234737","1710234737")</f>
        <v>1710234737</v>
      </c>
      <c r="E4419" t="s">
        <v>3028</v>
      </c>
      <c r="F4419" t="s">
        <v>13</v>
      </c>
      <c r="G4419" s="20">
        <v>1</v>
      </c>
      <c r="H4419" t="s">
        <v>4357</v>
      </c>
      <c r="I4419" t="s">
        <v>4357</v>
      </c>
      <c r="J4419" s="9">
        <v>54321</v>
      </c>
      <c r="K4419" s="9" t="s">
        <v>23</v>
      </c>
      <c r="L4419" s="9"/>
    </row>
    <row r="4420" spans="2:12" ht="15" x14ac:dyDescent="0.25">
      <c r="B4420" t="s">
        <v>3400</v>
      </c>
      <c r="C4420" t="s">
        <v>3401</v>
      </c>
      <c r="D4420" t="str">
        <f>HYPERLINK("https://rhld.insurance.arkansas.gov/NPILookup?Npi=1710295464","1710295464")</f>
        <v>1710295464</v>
      </c>
      <c r="E4420" t="s">
        <v>3030</v>
      </c>
      <c r="F4420" t="s">
        <v>13</v>
      </c>
      <c r="G4420" s="20">
        <v>1</v>
      </c>
      <c r="H4420" t="s">
        <v>4357</v>
      </c>
      <c r="I4420" t="s">
        <v>4357</v>
      </c>
      <c r="J4420" s="9">
        <v>54321</v>
      </c>
      <c r="K4420" s="9" t="s">
        <v>23</v>
      </c>
      <c r="L4420" s="9"/>
    </row>
    <row r="4421" spans="2:12" ht="15" x14ac:dyDescent="0.25">
      <c r="B4421" t="s">
        <v>3400</v>
      </c>
      <c r="C4421" t="s">
        <v>3401</v>
      </c>
      <c r="D4421" t="str">
        <f>HYPERLINK("https://rhld.insurance.arkansas.gov/NPILookup?Npi=1710306089","1710306089")</f>
        <v>1710306089</v>
      </c>
      <c r="E4421" t="s">
        <v>3950</v>
      </c>
      <c r="F4421" t="s">
        <v>13</v>
      </c>
      <c r="G4421" s="20">
        <v>1</v>
      </c>
      <c r="H4421" t="s">
        <v>3403</v>
      </c>
      <c r="I4421" t="s">
        <v>32</v>
      </c>
      <c r="J4421" s="9">
        <v>54321</v>
      </c>
      <c r="K4421" s="9" t="s">
        <v>23</v>
      </c>
      <c r="L4421" s="9"/>
    </row>
    <row r="4422" spans="2:12" ht="15" x14ac:dyDescent="0.25">
      <c r="B4422" t="s">
        <v>3400</v>
      </c>
      <c r="C4422" t="s">
        <v>3401</v>
      </c>
      <c r="D4422" t="str">
        <f>HYPERLINK("https://rhld.insurance.arkansas.gov/NPILookup?Npi=1710324116","1710324116")</f>
        <v>1710324116</v>
      </c>
      <c r="E4422" t="s">
        <v>3951</v>
      </c>
      <c r="F4422" t="s">
        <v>13</v>
      </c>
      <c r="G4422" s="20">
        <v>1</v>
      </c>
      <c r="H4422" t="s">
        <v>3403</v>
      </c>
      <c r="I4422" t="s">
        <v>4357</v>
      </c>
      <c r="J4422" s="9">
        <v>54321</v>
      </c>
      <c r="K4422" s="9" t="s">
        <v>23</v>
      </c>
      <c r="L4422" s="9"/>
    </row>
    <row r="4423" spans="2:12" ht="15" x14ac:dyDescent="0.25">
      <c r="B4423" t="s">
        <v>3400</v>
      </c>
      <c r="C4423" t="s">
        <v>3401</v>
      </c>
      <c r="D4423" t="str">
        <f>HYPERLINK("https://rhld.insurance.arkansas.gov/NPILookup?Npi=1710409883","1710409883")</f>
        <v>1710409883</v>
      </c>
      <c r="E4423" t="s">
        <v>3952</v>
      </c>
      <c r="F4423" t="s">
        <v>13</v>
      </c>
      <c r="G4423" s="20">
        <v>1</v>
      </c>
      <c r="H4423" t="s">
        <v>3403</v>
      </c>
      <c r="I4423" t="s">
        <v>32</v>
      </c>
      <c r="J4423" s="9">
        <v>54321</v>
      </c>
      <c r="K4423" s="9" t="s">
        <v>23</v>
      </c>
      <c r="L4423" s="9"/>
    </row>
    <row r="4424" spans="2:12" ht="15" x14ac:dyDescent="0.25">
      <c r="B4424" t="s">
        <v>3400</v>
      </c>
      <c r="C4424" t="s">
        <v>3401</v>
      </c>
      <c r="D4424" t="str">
        <f>HYPERLINK("https://rhld.insurance.arkansas.gov/NPILookup?Npi=1710515366","1710515366")</f>
        <v>1710515366</v>
      </c>
      <c r="E4424" t="s">
        <v>3953</v>
      </c>
      <c r="F4424" t="s">
        <v>13</v>
      </c>
      <c r="G4424" s="20">
        <v>1</v>
      </c>
      <c r="H4424" t="s">
        <v>3403</v>
      </c>
      <c r="I4424" t="s">
        <v>4357</v>
      </c>
      <c r="J4424" s="9">
        <v>54321</v>
      </c>
      <c r="K4424" s="9" t="s">
        <v>23</v>
      </c>
      <c r="L4424" s="9"/>
    </row>
    <row r="4425" spans="2:12" ht="15" x14ac:dyDescent="0.25">
      <c r="B4425" t="s">
        <v>3400</v>
      </c>
      <c r="C4425" t="s">
        <v>3401</v>
      </c>
      <c r="D4425" t="str">
        <f>HYPERLINK("https://rhld.insurance.arkansas.gov/NPILookup?Npi=1710519673","1710519673")</f>
        <v>1710519673</v>
      </c>
      <c r="E4425" t="s">
        <v>3954</v>
      </c>
      <c r="F4425" t="s">
        <v>13</v>
      </c>
      <c r="G4425" s="20">
        <v>1</v>
      </c>
      <c r="H4425" t="s">
        <v>3403</v>
      </c>
      <c r="I4425" t="s">
        <v>32</v>
      </c>
      <c r="J4425" s="9">
        <v>54321</v>
      </c>
      <c r="K4425" s="9" t="s">
        <v>23</v>
      </c>
      <c r="L4425" s="9"/>
    </row>
    <row r="4426" spans="2:12" ht="15" x14ac:dyDescent="0.25">
      <c r="B4426" t="s">
        <v>3400</v>
      </c>
      <c r="C4426" t="s">
        <v>3401</v>
      </c>
      <c r="D4426" t="str">
        <f>HYPERLINK("https://rhld.insurance.arkansas.gov/NPILookup?Npi=1710619085","1710619085")</f>
        <v>1710619085</v>
      </c>
      <c r="E4426" t="s">
        <v>1140</v>
      </c>
      <c r="F4426" t="s">
        <v>13</v>
      </c>
      <c r="G4426" s="20">
        <v>1</v>
      </c>
      <c r="H4426" t="s">
        <v>4357</v>
      </c>
      <c r="I4426" t="s">
        <v>4357</v>
      </c>
      <c r="J4426" s="9">
        <v>54321</v>
      </c>
      <c r="K4426" s="9" t="s">
        <v>4639</v>
      </c>
      <c r="L4426" s="9"/>
    </row>
    <row r="4427" spans="2:12" ht="15" x14ac:dyDescent="0.25">
      <c r="B4427" t="s">
        <v>3400</v>
      </c>
      <c r="C4427" t="s">
        <v>3401</v>
      </c>
      <c r="D4427" t="str">
        <f>HYPERLINK("https://rhld.insurance.arkansas.gov/NPILookup?Npi=1710648050","1710648050")</f>
        <v>1710648050</v>
      </c>
      <c r="E4427" t="s">
        <v>3955</v>
      </c>
      <c r="F4427" t="s">
        <v>13</v>
      </c>
      <c r="G4427" s="20">
        <v>1</v>
      </c>
      <c r="H4427" t="s">
        <v>3403</v>
      </c>
      <c r="I4427" t="s">
        <v>4357</v>
      </c>
      <c r="J4427" s="9">
        <v>54321</v>
      </c>
      <c r="K4427" s="9" t="s">
        <v>23</v>
      </c>
      <c r="L4427" s="9"/>
    </row>
    <row r="4428" spans="2:12" ht="15" x14ac:dyDescent="0.25">
      <c r="B4428" t="s">
        <v>3400</v>
      </c>
      <c r="C4428" t="s">
        <v>3401</v>
      </c>
      <c r="D4428" t="str">
        <f>HYPERLINK("https://rhld.insurance.arkansas.gov/NPILookup?Npi=1710706692","1710706692")</f>
        <v>1710706692</v>
      </c>
      <c r="E4428" t="s">
        <v>3037</v>
      </c>
      <c r="F4428" t="s">
        <v>13</v>
      </c>
      <c r="G4428" s="20">
        <v>1</v>
      </c>
      <c r="H4428" t="s">
        <v>4357</v>
      </c>
      <c r="I4428" t="s">
        <v>4357</v>
      </c>
      <c r="J4428" s="9">
        <v>54321</v>
      </c>
      <c r="K4428" s="9" t="s">
        <v>23</v>
      </c>
      <c r="L4428" s="9"/>
    </row>
    <row r="4429" spans="2:12" ht="15" x14ac:dyDescent="0.25">
      <c r="B4429" t="s">
        <v>3400</v>
      </c>
      <c r="C4429" t="s">
        <v>3401</v>
      </c>
      <c r="D4429" t="str">
        <f>HYPERLINK("https://rhld.insurance.arkansas.gov/NPILookup?Npi=1710943659","1710943659")</f>
        <v>1710943659</v>
      </c>
      <c r="E4429" t="s">
        <v>3956</v>
      </c>
      <c r="F4429" t="s">
        <v>13</v>
      </c>
      <c r="G4429" s="20">
        <v>1</v>
      </c>
      <c r="H4429" t="s">
        <v>3403</v>
      </c>
      <c r="I4429" t="s">
        <v>32</v>
      </c>
      <c r="J4429" s="9">
        <v>54321</v>
      </c>
      <c r="K4429" s="9" t="s">
        <v>23</v>
      </c>
      <c r="L4429" s="9"/>
    </row>
    <row r="4430" spans="2:12" ht="15" x14ac:dyDescent="0.25">
      <c r="B4430" t="s">
        <v>3400</v>
      </c>
      <c r="C4430" t="s">
        <v>3401</v>
      </c>
      <c r="D4430" t="str">
        <f>HYPERLINK("https://rhld.insurance.arkansas.gov/NPILookup?Npi=1710982871","1710982871")</f>
        <v>1710982871</v>
      </c>
      <c r="E4430" t="s">
        <v>796</v>
      </c>
      <c r="F4430" t="s">
        <v>12</v>
      </c>
      <c r="G4430" s="20">
        <v>2</v>
      </c>
      <c r="H4430" t="s">
        <v>4355</v>
      </c>
      <c r="I4430" t="s">
        <v>32</v>
      </c>
      <c r="J4430" s="9">
        <v>54321</v>
      </c>
      <c r="K4430" s="9" t="s">
        <v>23</v>
      </c>
      <c r="L4430" s="9"/>
    </row>
    <row r="4431" spans="2:12" ht="15" x14ac:dyDescent="0.25">
      <c r="B4431" t="s">
        <v>3400</v>
      </c>
      <c r="C4431" t="s">
        <v>3401</v>
      </c>
      <c r="D4431" t="str">
        <f>HYPERLINK("https://rhld.insurance.arkansas.gov/NPILookup?Npi=1720003247","1720003247")</f>
        <v>1720003247</v>
      </c>
      <c r="E4431" t="s">
        <v>3957</v>
      </c>
      <c r="F4431" t="s">
        <v>13</v>
      </c>
      <c r="G4431" s="20">
        <v>1</v>
      </c>
      <c r="H4431" t="s">
        <v>3403</v>
      </c>
      <c r="I4431" t="s">
        <v>32</v>
      </c>
      <c r="J4431" s="9">
        <v>54321</v>
      </c>
      <c r="K4431" s="9" t="s">
        <v>23</v>
      </c>
      <c r="L4431" s="9"/>
    </row>
    <row r="4432" spans="2:12" ht="15" x14ac:dyDescent="0.25">
      <c r="B4432" t="s">
        <v>3400</v>
      </c>
      <c r="C4432" t="s">
        <v>3401</v>
      </c>
      <c r="D4432" t="str">
        <f>HYPERLINK("https://rhld.insurance.arkansas.gov/NPILookup?Npi=1720020662","1720020662")</f>
        <v>1720020662</v>
      </c>
      <c r="E4432" t="s">
        <v>3958</v>
      </c>
      <c r="F4432" t="s">
        <v>13</v>
      </c>
      <c r="G4432" s="20">
        <v>1</v>
      </c>
      <c r="H4432" t="s">
        <v>3403</v>
      </c>
      <c r="I4432" t="s">
        <v>32</v>
      </c>
      <c r="J4432" s="9">
        <v>54321</v>
      </c>
      <c r="K4432" s="9" t="s">
        <v>23</v>
      </c>
      <c r="L4432" s="9"/>
    </row>
    <row r="4433" spans="2:12" ht="15" x14ac:dyDescent="0.25">
      <c r="B4433" t="s">
        <v>3400</v>
      </c>
      <c r="C4433" t="s">
        <v>3401</v>
      </c>
      <c r="D4433" t="str">
        <f>HYPERLINK("https://rhld.insurance.arkansas.gov/NPILookup?Npi=1720086952","1720086952")</f>
        <v>1720086952</v>
      </c>
      <c r="E4433" t="s">
        <v>3959</v>
      </c>
      <c r="F4433" t="s">
        <v>13</v>
      </c>
      <c r="G4433" s="20">
        <v>1</v>
      </c>
      <c r="H4433" t="s">
        <v>3403</v>
      </c>
      <c r="I4433" t="s">
        <v>32</v>
      </c>
      <c r="J4433" s="9">
        <v>54321</v>
      </c>
      <c r="K4433" s="9" t="s">
        <v>23</v>
      </c>
      <c r="L4433" s="9"/>
    </row>
    <row r="4434" spans="2:12" ht="15" x14ac:dyDescent="0.25">
      <c r="B4434" t="s">
        <v>3400</v>
      </c>
      <c r="C4434" t="s">
        <v>3401</v>
      </c>
      <c r="D4434" t="str">
        <f>HYPERLINK("https://rhld.insurance.arkansas.gov/NPILookup?Npi=1720205586","1720205586")</f>
        <v>1720205586</v>
      </c>
      <c r="E4434" t="s">
        <v>3042</v>
      </c>
      <c r="F4434" t="s">
        <v>13</v>
      </c>
      <c r="G4434" s="20">
        <v>1</v>
      </c>
      <c r="H4434" t="s">
        <v>3403</v>
      </c>
      <c r="I4434" t="s">
        <v>4357</v>
      </c>
      <c r="J4434" s="9">
        <v>54321</v>
      </c>
      <c r="K4434" s="9" t="s">
        <v>22</v>
      </c>
      <c r="L4434" s="9" t="s">
        <v>4640</v>
      </c>
    </row>
    <row r="4435" spans="2:12" ht="15" x14ac:dyDescent="0.25">
      <c r="B4435" t="s">
        <v>3400</v>
      </c>
      <c r="C4435" t="s">
        <v>3401</v>
      </c>
      <c r="D4435" t="str">
        <f>HYPERLINK("https://rhld.insurance.arkansas.gov/NPILookup?Npi=1720364334","1720364334")</f>
        <v>1720364334</v>
      </c>
      <c r="E4435" t="s">
        <v>3960</v>
      </c>
      <c r="F4435" t="s">
        <v>13</v>
      </c>
      <c r="G4435" s="20">
        <v>1</v>
      </c>
      <c r="H4435" t="s">
        <v>3403</v>
      </c>
      <c r="I4435" t="s">
        <v>32</v>
      </c>
      <c r="J4435" s="9">
        <v>54321</v>
      </c>
      <c r="K4435" s="9" t="s">
        <v>23</v>
      </c>
      <c r="L4435" s="9"/>
    </row>
    <row r="4436" spans="2:12" ht="15" x14ac:dyDescent="0.25">
      <c r="B4436" t="s">
        <v>3400</v>
      </c>
      <c r="C4436" t="s">
        <v>3401</v>
      </c>
      <c r="D4436" t="str">
        <f>HYPERLINK("https://rhld.insurance.arkansas.gov/NPILookup?Npi=1720402464","1720402464")</f>
        <v>1720402464</v>
      </c>
      <c r="E4436" t="s">
        <v>3961</v>
      </c>
      <c r="F4436" t="s">
        <v>13</v>
      </c>
      <c r="G4436" s="20">
        <v>1</v>
      </c>
      <c r="H4436" t="s">
        <v>3403</v>
      </c>
      <c r="I4436" t="s">
        <v>32</v>
      </c>
      <c r="J4436" s="9">
        <v>54321</v>
      </c>
      <c r="K4436" s="9" t="s">
        <v>22</v>
      </c>
      <c r="L4436" s="9" t="s">
        <v>4640</v>
      </c>
    </row>
    <row r="4437" spans="2:12" ht="15" x14ac:dyDescent="0.25">
      <c r="B4437" t="s">
        <v>3400</v>
      </c>
      <c r="C4437" t="s">
        <v>3401</v>
      </c>
      <c r="D4437" t="str">
        <f>HYPERLINK("https://rhld.insurance.arkansas.gov/NPILookup?Npi=1720416308","1720416308")</f>
        <v>1720416308</v>
      </c>
      <c r="E4437" t="s">
        <v>3962</v>
      </c>
      <c r="F4437" t="s">
        <v>13</v>
      </c>
      <c r="G4437" s="20">
        <v>1</v>
      </c>
      <c r="H4437" t="s">
        <v>3403</v>
      </c>
      <c r="I4437" t="s">
        <v>4357</v>
      </c>
      <c r="J4437" s="9">
        <v>54321</v>
      </c>
      <c r="K4437" s="9" t="s">
        <v>4639</v>
      </c>
      <c r="L4437" s="9"/>
    </row>
    <row r="4438" spans="2:12" ht="15" x14ac:dyDescent="0.25">
      <c r="B4438" t="s">
        <v>3400</v>
      </c>
      <c r="C4438" t="s">
        <v>3401</v>
      </c>
      <c r="D4438" t="str">
        <f>HYPERLINK("https://rhld.insurance.arkansas.gov/NPILookup?Npi=1720423387","1720423387")</f>
        <v>1720423387</v>
      </c>
      <c r="E4438" t="s">
        <v>3963</v>
      </c>
      <c r="F4438" t="s">
        <v>12</v>
      </c>
      <c r="G4438" s="20">
        <v>1</v>
      </c>
      <c r="H4438" t="s">
        <v>4338</v>
      </c>
      <c r="I4438" t="s">
        <v>32</v>
      </c>
      <c r="J4438" s="9">
        <v>54321</v>
      </c>
      <c r="K4438" s="9" t="s">
        <v>23</v>
      </c>
      <c r="L4438" s="9"/>
    </row>
    <row r="4439" spans="2:12" ht="15" x14ac:dyDescent="0.25">
      <c r="B4439" t="s">
        <v>3400</v>
      </c>
      <c r="C4439" t="s">
        <v>3401</v>
      </c>
      <c r="D4439" t="str">
        <f>HYPERLINK("https://rhld.insurance.arkansas.gov/NPILookup?Npi=1720897705","1720897705")</f>
        <v>1720897705</v>
      </c>
      <c r="E4439" t="s">
        <v>3045</v>
      </c>
      <c r="F4439" t="s">
        <v>13</v>
      </c>
      <c r="G4439" s="20">
        <v>1</v>
      </c>
      <c r="H4439" t="s">
        <v>4357</v>
      </c>
      <c r="I4439" t="s">
        <v>4357</v>
      </c>
      <c r="J4439" s="9">
        <v>54321</v>
      </c>
      <c r="K4439" s="9" t="s">
        <v>23</v>
      </c>
      <c r="L4439" s="9"/>
    </row>
    <row r="4440" spans="2:12" ht="15" x14ac:dyDescent="0.25">
      <c r="B4440" t="s">
        <v>3400</v>
      </c>
      <c r="C4440" t="s">
        <v>3401</v>
      </c>
      <c r="D4440" t="str">
        <f>HYPERLINK("https://rhld.insurance.arkansas.gov/NPILookup?Npi=1730186875","1730186875")</f>
        <v>1730186875</v>
      </c>
      <c r="E4440" t="s">
        <v>3964</v>
      </c>
      <c r="F4440" t="s">
        <v>12</v>
      </c>
      <c r="G4440" s="20">
        <v>1</v>
      </c>
      <c r="H4440" t="s">
        <v>3965</v>
      </c>
      <c r="I4440" t="s">
        <v>32</v>
      </c>
      <c r="J4440" s="9">
        <v>54321</v>
      </c>
      <c r="K4440" s="9" t="s">
        <v>23</v>
      </c>
      <c r="L4440" s="9"/>
    </row>
    <row r="4441" spans="2:12" ht="15" x14ac:dyDescent="0.25">
      <c r="B4441" t="s">
        <v>3400</v>
      </c>
      <c r="C4441" t="s">
        <v>3401</v>
      </c>
      <c r="D4441" t="str">
        <f>HYPERLINK("https://rhld.insurance.arkansas.gov/NPILookup?Npi=1730188053","1730188053")</f>
        <v>1730188053</v>
      </c>
      <c r="E4441" t="s">
        <v>804</v>
      </c>
      <c r="F4441" t="s">
        <v>12</v>
      </c>
      <c r="G4441" s="20">
        <v>1</v>
      </c>
      <c r="H4441" t="s">
        <v>4338</v>
      </c>
      <c r="I4441" t="s">
        <v>32</v>
      </c>
      <c r="J4441" s="9">
        <v>54321</v>
      </c>
      <c r="K4441" s="9" t="s">
        <v>23</v>
      </c>
      <c r="L4441" s="9"/>
    </row>
    <row r="4442" spans="2:12" ht="15" x14ac:dyDescent="0.25">
      <c r="B4442" t="s">
        <v>3400</v>
      </c>
      <c r="C4442" t="s">
        <v>3401</v>
      </c>
      <c r="D4442" t="str">
        <f>HYPERLINK("https://rhld.insurance.arkansas.gov/NPILookup?Npi=1730227299","1730227299")</f>
        <v>1730227299</v>
      </c>
      <c r="E4442" t="s">
        <v>3047</v>
      </c>
      <c r="F4442" t="s">
        <v>13</v>
      </c>
      <c r="G4442" s="20">
        <v>1</v>
      </c>
      <c r="H4442" t="s">
        <v>3403</v>
      </c>
      <c r="I4442" t="s">
        <v>4357</v>
      </c>
      <c r="J4442" s="9">
        <v>54321</v>
      </c>
      <c r="K4442" s="9" t="s">
        <v>23</v>
      </c>
      <c r="L4442" s="9"/>
    </row>
    <row r="4443" spans="2:12" ht="15" x14ac:dyDescent="0.25">
      <c r="B4443" t="s">
        <v>3400</v>
      </c>
      <c r="C4443" t="s">
        <v>3401</v>
      </c>
      <c r="D4443" t="str">
        <f>HYPERLINK("https://rhld.insurance.arkansas.gov/NPILookup?Npi=1730322041","1730322041")</f>
        <v>1730322041</v>
      </c>
      <c r="E4443" t="s">
        <v>3966</v>
      </c>
      <c r="F4443" t="s">
        <v>13</v>
      </c>
      <c r="G4443" s="20">
        <v>1</v>
      </c>
      <c r="H4443" t="s">
        <v>4357</v>
      </c>
      <c r="I4443" t="s">
        <v>4357</v>
      </c>
      <c r="J4443" s="9">
        <v>54321</v>
      </c>
      <c r="K4443" s="9" t="s">
        <v>22</v>
      </c>
      <c r="L4443" s="9" t="s">
        <v>4640</v>
      </c>
    </row>
    <row r="4444" spans="2:12" ht="15" x14ac:dyDescent="0.25">
      <c r="B4444" t="s">
        <v>3400</v>
      </c>
      <c r="C4444" t="s">
        <v>3401</v>
      </c>
      <c r="D4444" t="str">
        <f>HYPERLINK("https://rhld.insurance.arkansas.gov/NPILookup?Npi=1730418385","1730418385")</f>
        <v>1730418385</v>
      </c>
      <c r="E4444" t="s">
        <v>3967</v>
      </c>
      <c r="F4444" t="s">
        <v>13</v>
      </c>
      <c r="G4444" s="20">
        <v>1</v>
      </c>
      <c r="H4444" t="s">
        <v>3403</v>
      </c>
      <c r="I4444" t="s">
        <v>4357</v>
      </c>
      <c r="J4444" s="9">
        <v>54321</v>
      </c>
      <c r="K4444" s="9" t="s">
        <v>4639</v>
      </c>
      <c r="L4444" s="9"/>
    </row>
    <row r="4445" spans="2:12" ht="15" x14ac:dyDescent="0.25">
      <c r="B4445" t="s">
        <v>3400</v>
      </c>
      <c r="C4445" t="s">
        <v>3401</v>
      </c>
      <c r="D4445" t="str">
        <f>HYPERLINK("https://rhld.insurance.arkansas.gov/NPILookup?Npi=1730443078","1730443078")</f>
        <v>1730443078</v>
      </c>
      <c r="E4445" t="s">
        <v>3052</v>
      </c>
      <c r="F4445" t="s">
        <v>13</v>
      </c>
      <c r="G4445" s="20">
        <v>1</v>
      </c>
      <c r="H4445" t="s">
        <v>3403</v>
      </c>
      <c r="I4445" t="s">
        <v>4357</v>
      </c>
      <c r="J4445" s="9">
        <v>54321</v>
      </c>
      <c r="K4445" s="9" t="s">
        <v>23</v>
      </c>
      <c r="L4445" s="9"/>
    </row>
    <row r="4446" spans="2:12" ht="15" x14ac:dyDescent="0.25">
      <c r="B4446" t="s">
        <v>3400</v>
      </c>
      <c r="C4446" t="s">
        <v>3401</v>
      </c>
      <c r="D4446" t="str">
        <f>HYPERLINK("https://rhld.insurance.arkansas.gov/NPILookup?Npi=1730484684","1730484684")</f>
        <v>1730484684</v>
      </c>
      <c r="E4446" t="s">
        <v>3968</v>
      </c>
      <c r="F4446" t="s">
        <v>13</v>
      </c>
      <c r="G4446" s="20">
        <v>1</v>
      </c>
      <c r="H4446" t="s">
        <v>3403</v>
      </c>
      <c r="I4446" t="s">
        <v>4357</v>
      </c>
      <c r="J4446" s="9">
        <v>54321</v>
      </c>
      <c r="K4446" s="9" t="s">
        <v>23</v>
      </c>
      <c r="L4446" s="9"/>
    </row>
    <row r="4447" spans="2:12" ht="15" x14ac:dyDescent="0.25">
      <c r="B4447" t="s">
        <v>3400</v>
      </c>
      <c r="C4447" t="s">
        <v>3401</v>
      </c>
      <c r="D4447" t="str">
        <f>HYPERLINK("https://rhld.insurance.arkansas.gov/NPILookup?Npi=1730508151","1730508151")</f>
        <v>1730508151</v>
      </c>
      <c r="E4447" t="s">
        <v>3053</v>
      </c>
      <c r="F4447" t="s">
        <v>12</v>
      </c>
      <c r="G4447" s="20">
        <v>1</v>
      </c>
      <c r="H4447" t="s">
        <v>4338</v>
      </c>
      <c r="I4447" t="s">
        <v>32</v>
      </c>
      <c r="J4447" s="9">
        <v>54321</v>
      </c>
      <c r="K4447" s="9" t="s">
        <v>23</v>
      </c>
      <c r="L4447" s="9"/>
    </row>
    <row r="4448" spans="2:12" ht="15" x14ac:dyDescent="0.25">
      <c r="B4448" t="s">
        <v>3400</v>
      </c>
      <c r="C4448" t="s">
        <v>3401</v>
      </c>
      <c r="D4448" t="str">
        <f>HYPERLINK("https://rhld.insurance.arkansas.gov/NPILookup?Npi=1730541798","1730541798")</f>
        <v>1730541798</v>
      </c>
      <c r="E4448" t="s">
        <v>3969</v>
      </c>
      <c r="F4448" t="s">
        <v>12</v>
      </c>
      <c r="G4448" s="20">
        <v>1</v>
      </c>
      <c r="H4448" t="s">
        <v>4338</v>
      </c>
      <c r="I4448" t="s">
        <v>32</v>
      </c>
      <c r="J4448" s="9">
        <v>54321</v>
      </c>
      <c r="K4448" s="9" t="s">
        <v>23</v>
      </c>
      <c r="L4448" s="9"/>
    </row>
    <row r="4449" spans="2:12" ht="15" x14ac:dyDescent="0.25">
      <c r="B4449" t="s">
        <v>3400</v>
      </c>
      <c r="C4449" t="s">
        <v>3401</v>
      </c>
      <c r="D4449" t="str">
        <f>HYPERLINK("https://rhld.insurance.arkansas.gov/NPILookup?Npi=1730609439","1730609439")</f>
        <v>1730609439</v>
      </c>
      <c r="E4449" t="s">
        <v>3970</v>
      </c>
      <c r="F4449" t="s">
        <v>13</v>
      </c>
      <c r="G4449" s="20">
        <v>1</v>
      </c>
      <c r="H4449" t="s">
        <v>3403</v>
      </c>
      <c r="I4449" t="s">
        <v>32</v>
      </c>
      <c r="J4449" s="9">
        <v>54321</v>
      </c>
      <c r="K4449" s="9" t="s">
        <v>23</v>
      </c>
      <c r="L4449" s="9"/>
    </row>
    <row r="4450" spans="2:12" ht="15" x14ac:dyDescent="0.25">
      <c r="B4450" t="s">
        <v>3400</v>
      </c>
      <c r="C4450" t="s">
        <v>3401</v>
      </c>
      <c r="D4450" t="str">
        <f>HYPERLINK("https://rhld.insurance.arkansas.gov/NPILookup?Npi=1730692914","1730692914")</f>
        <v>1730692914</v>
      </c>
      <c r="E4450" t="s">
        <v>3056</v>
      </c>
      <c r="F4450" t="s">
        <v>13</v>
      </c>
      <c r="G4450" s="20">
        <v>1</v>
      </c>
      <c r="H4450" t="s">
        <v>3403</v>
      </c>
      <c r="I4450" t="s">
        <v>4357</v>
      </c>
      <c r="J4450" s="9">
        <v>54321</v>
      </c>
      <c r="K4450" s="9" t="s">
        <v>23</v>
      </c>
      <c r="L4450" s="9"/>
    </row>
    <row r="4451" spans="2:12" ht="15" x14ac:dyDescent="0.25">
      <c r="B4451" t="s">
        <v>3400</v>
      </c>
      <c r="C4451" t="s">
        <v>3401</v>
      </c>
      <c r="D4451" t="str">
        <f>HYPERLINK("https://rhld.insurance.arkansas.gov/NPILookup?Npi=1730854241","1730854241")</f>
        <v>1730854241</v>
      </c>
      <c r="E4451" t="s">
        <v>3058</v>
      </c>
      <c r="F4451" t="s">
        <v>13</v>
      </c>
      <c r="G4451" s="20">
        <v>1</v>
      </c>
      <c r="H4451" t="s">
        <v>3403</v>
      </c>
      <c r="I4451" t="s">
        <v>32</v>
      </c>
      <c r="J4451" s="9">
        <v>54321</v>
      </c>
      <c r="K4451" s="9" t="s">
        <v>23</v>
      </c>
      <c r="L4451" s="9"/>
    </row>
    <row r="4452" spans="2:12" ht="15" x14ac:dyDescent="0.25">
      <c r="B4452" t="s">
        <v>3400</v>
      </c>
      <c r="C4452" t="s">
        <v>3401</v>
      </c>
      <c r="D4452" t="str">
        <f>HYPERLINK("https://rhld.insurance.arkansas.gov/NPILookup?Npi=1730895434","1730895434")</f>
        <v>1730895434</v>
      </c>
      <c r="E4452" t="s">
        <v>3971</v>
      </c>
      <c r="F4452" t="s">
        <v>13</v>
      </c>
      <c r="G4452" s="20">
        <v>1</v>
      </c>
      <c r="H4452" t="s">
        <v>3403</v>
      </c>
      <c r="I4452" t="s">
        <v>32</v>
      </c>
      <c r="J4452" s="9">
        <v>54321</v>
      </c>
      <c r="K4452" s="9" t="s">
        <v>22</v>
      </c>
      <c r="L4452" s="9" t="s">
        <v>4640</v>
      </c>
    </row>
    <row r="4453" spans="2:12" ht="15" x14ac:dyDescent="0.25">
      <c r="B4453" t="s">
        <v>3400</v>
      </c>
      <c r="C4453" t="s">
        <v>3401</v>
      </c>
      <c r="D4453" t="str">
        <f>HYPERLINK("https://rhld.insurance.arkansas.gov/NPILookup?Npi=1730901588","1730901588")</f>
        <v>1730901588</v>
      </c>
      <c r="E4453" t="s">
        <v>1802</v>
      </c>
      <c r="F4453" t="s">
        <v>13</v>
      </c>
      <c r="G4453" s="20">
        <v>1</v>
      </c>
      <c r="H4453" t="s">
        <v>4357</v>
      </c>
      <c r="I4453" t="s">
        <v>4357</v>
      </c>
      <c r="J4453" s="9">
        <v>54321</v>
      </c>
      <c r="K4453" s="9" t="s">
        <v>23</v>
      </c>
      <c r="L4453" s="9"/>
    </row>
    <row r="4454" spans="2:12" ht="15" x14ac:dyDescent="0.25">
      <c r="B4454" t="s">
        <v>3400</v>
      </c>
      <c r="C4454" t="s">
        <v>3401</v>
      </c>
      <c r="D4454" t="str">
        <f>HYPERLINK("https://rhld.insurance.arkansas.gov/NPILookup?Npi=1730958968","1730958968")</f>
        <v>1730958968</v>
      </c>
      <c r="E4454" t="s">
        <v>2091</v>
      </c>
      <c r="F4454" t="s">
        <v>13</v>
      </c>
      <c r="G4454" s="20">
        <v>1</v>
      </c>
      <c r="H4454" t="s">
        <v>4357</v>
      </c>
      <c r="I4454" t="s">
        <v>4357</v>
      </c>
      <c r="J4454" s="9">
        <v>54321</v>
      </c>
      <c r="K4454" s="9" t="s">
        <v>23</v>
      </c>
      <c r="L4454" s="9"/>
    </row>
    <row r="4455" spans="2:12" ht="15" x14ac:dyDescent="0.25">
      <c r="B4455" t="s">
        <v>3400</v>
      </c>
      <c r="C4455" t="s">
        <v>3401</v>
      </c>
      <c r="D4455" t="str">
        <f>HYPERLINK("https://rhld.insurance.arkansas.gov/NPILookup?Npi=1740026517","1740026517")</f>
        <v>1740026517</v>
      </c>
      <c r="E4455" t="s">
        <v>3059</v>
      </c>
      <c r="F4455" t="s">
        <v>13</v>
      </c>
      <c r="G4455" s="20">
        <v>1</v>
      </c>
      <c r="H4455" t="s">
        <v>4357</v>
      </c>
      <c r="I4455" t="s">
        <v>4357</v>
      </c>
      <c r="J4455" s="9">
        <v>54321</v>
      </c>
      <c r="K4455" s="9" t="s">
        <v>23</v>
      </c>
      <c r="L4455" s="9"/>
    </row>
    <row r="4456" spans="2:12" ht="15" x14ac:dyDescent="0.25">
      <c r="B4456" t="s">
        <v>3400</v>
      </c>
      <c r="C4456" t="s">
        <v>3401</v>
      </c>
      <c r="D4456" t="str">
        <f>HYPERLINK("https://rhld.insurance.arkansas.gov/NPILookup?Npi=1740227321","1740227321")</f>
        <v>1740227321</v>
      </c>
      <c r="E4456" t="s">
        <v>3972</v>
      </c>
      <c r="F4456" t="s">
        <v>12</v>
      </c>
      <c r="G4456" s="20">
        <v>1</v>
      </c>
      <c r="H4456" t="s">
        <v>4338</v>
      </c>
      <c r="I4456" t="s">
        <v>32</v>
      </c>
      <c r="J4456" s="9">
        <v>54321</v>
      </c>
      <c r="K4456" s="9" t="s">
        <v>22</v>
      </c>
      <c r="L4456" s="9" t="s">
        <v>4640</v>
      </c>
    </row>
    <row r="4457" spans="2:12" ht="15" x14ac:dyDescent="0.25">
      <c r="B4457" t="s">
        <v>3400</v>
      </c>
      <c r="C4457" t="s">
        <v>3401</v>
      </c>
      <c r="D4457" t="str">
        <f>HYPERLINK("https://rhld.insurance.arkansas.gov/NPILookup?Npi=1740249523","1740249523")</f>
        <v>1740249523</v>
      </c>
      <c r="E4457" t="s">
        <v>3973</v>
      </c>
      <c r="F4457" t="s">
        <v>13</v>
      </c>
      <c r="G4457" s="20">
        <v>1</v>
      </c>
      <c r="H4457" t="s">
        <v>3403</v>
      </c>
      <c r="I4457" t="s">
        <v>32</v>
      </c>
      <c r="J4457" s="9">
        <v>54321</v>
      </c>
      <c r="K4457" s="9" t="s">
        <v>23</v>
      </c>
      <c r="L4457" s="9"/>
    </row>
    <row r="4458" spans="2:12" ht="15" x14ac:dyDescent="0.25">
      <c r="B4458" t="s">
        <v>3400</v>
      </c>
      <c r="C4458" t="s">
        <v>3401</v>
      </c>
      <c r="D4458" t="str">
        <f>HYPERLINK("https://rhld.insurance.arkansas.gov/NPILookup?Npi=1740266535","1740266535")</f>
        <v>1740266535</v>
      </c>
      <c r="E4458" t="s">
        <v>3974</v>
      </c>
      <c r="F4458" t="s">
        <v>13</v>
      </c>
      <c r="G4458" s="20">
        <v>1</v>
      </c>
      <c r="H4458" t="s">
        <v>3403</v>
      </c>
      <c r="I4458" t="s">
        <v>32</v>
      </c>
      <c r="J4458" s="9">
        <v>54321</v>
      </c>
      <c r="K4458" s="9" t="s">
        <v>23</v>
      </c>
      <c r="L4458" s="9"/>
    </row>
    <row r="4459" spans="2:12" ht="15" x14ac:dyDescent="0.25">
      <c r="B4459" t="s">
        <v>3400</v>
      </c>
      <c r="C4459" t="s">
        <v>3401</v>
      </c>
      <c r="D4459" t="str">
        <f>HYPERLINK("https://rhld.insurance.arkansas.gov/NPILookup?Npi=1740365733","1740365733")</f>
        <v>1740365733</v>
      </c>
      <c r="E4459" t="s">
        <v>3060</v>
      </c>
      <c r="F4459" t="s">
        <v>13</v>
      </c>
      <c r="G4459" s="20">
        <v>1</v>
      </c>
      <c r="H4459" t="s">
        <v>3403</v>
      </c>
      <c r="I4459" t="s">
        <v>4357</v>
      </c>
      <c r="J4459" s="9">
        <v>54321</v>
      </c>
      <c r="K4459" s="9" t="s">
        <v>23</v>
      </c>
      <c r="L4459" s="9"/>
    </row>
    <row r="4460" spans="2:12" ht="15" x14ac:dyDescent="0.25">
      <c r="B4460" t="s">
        <v>3400</v>
      </c>
      <c r="C4460" t="s">
        <v>3401</v>
      </c>
      <c r="D4460" t="str">
        <f>HYPERLINK("https://rhld.insurance.arkansas.gov/NPILookup?Npi=1740369263","1740369263")</f>
        <v>1740369263</v>
      </c>
      <c r="E4460" t="s">
        <v>3975</v>
      </c>
      <c r="F4460" t="s">
        <v>12</v>
      </c>
      <c r="G4460" s="20">
        <v>1</v>
      </c>
      <c r="H4460" t="s">
        <v>4338</v>
      </c>
      <c r="I4460" t="s">
        <v>32</v>
      </c>
      <c r="J4460" s="9">
        <v>54321</v>
      </c>
      <c r="K4460" s="9" t="s">
        <v>23</v>
      </c>
      <c r="L4460" s="9"/>
    </row>
    <row r="4461" spans="2:12" ht="15" x14ac:dyDescent="0.25">
      <c r="B4461" t="s">
        <v>3400</v>
      </c>
      <c r="C4461" t="s">
        <v>3401</v>
      </c>
      <c r="D4461" t="str">
        <f>HYPERLINK("https://rhld.insurance.arkansas.gov/NPILookup?Npi=1740673714","1740673714")</f>
        <v>1740673714</v>
      </c>
      <c r="E4461" t="s">
        <v>3064</v>
      </c>
      <c r="F4461" t="s">
        <v>13</v>
      </c>
      <c r="G4461" s="20">
        <v>1</v>
      </c>
      <c r="H4461" t="s">
        <v>3403</v>
      </c>
      <c r="I4461" t="s">
        <v>4357</v>
      </c>
      <c r="J4461" s="9">
        <v>54321</v>
      </c>
      <c r="K4461" s="9" t="s">
        <v>23</v>
      </c>
      <c r="L4461" s="9"/>
    </row>
    <row r="4462" spans="2:12" ht="15" x14ac:dyDescent="0.25">
      <c r="B4462" t="s">
        <v>3400</v>
      </c>
      <c r="C4462" t="s">
        <v>3401</v>
      </c>
      <c r="D4462" t="str">
        <f>HYPERLINK("https://rhld.insurance.arkansas.gov/NPILookup?Npi=1740700368","1740700368")</f>
        <v>1740700368</v>
      </c>
      <c r="E4462" t="s">
        <v>3065</v>
      </c>
      <c r="F4462" t="s">
        <v>13</v>
      </c>
      <c r="G4462" s="20">
        <v>1</v>
      </c>
      <c r="H4462" t="s">
        <v>4357</v>
      </c>
      <c r="I4462" t="s">
        <v>4357</v>
      </c>
      <c r="J4462" s="9">
        <v>54321</v>
      </c>
      <c r="K4462" s="9" t="s">
        <v>23</v>
      </c>
      <c r="L4462" s="9"/>
    </row>
    <row r="4463" spans="2:12" ht="15" x14ac:dyDescent="0.25">
      <c r="B4463" t="s">
        <v>3400</v>
      </c>
      <c r="C4463" t="s">
        <v>3401</v>
      </c>
      <c r="D4463" t="str">
        <f>HYPERLINK("https://rhld.insurance.arkansas.gov/NPILookup?Npi=1740703180","1740703180")</f>
        <v>1740703180</v>
      </c>
      <c r="E4463" t="s">
        <v>3066</v>
      </c>
      <c r="F4463" t="s">
        <v>13</v>
      </c>
      <c r="G4463" s="20">
        <v>1</v>
      </c>
      <c r="H4463" t="s">
        <v>4357</v>
      </c>
      <c r="I4463" t="s">
        <v>4357</v>
      </c>
      <c r="J4463" s="9">
        <v>54321</v>
      </c>
      <c r="K4463" s="9" t="s">
        <v>23</v>
      </c>
      <c r="L4463" s="9"/>
    </row>
    <row r="4464" spans="2:12" ht="15" x14ac:dyDescent="0.25">
      <c r="B4464" t="s">
        <v>3400</v>
      </c>
      <c r="C4464" t="s">
        <v>3401</v>
      </c>
      <c r="D4464" t="str">
        <f>HYPERLINK("https://rhld.insurance.arkansas.gov/NPILookup?Npi=1740728187","1740728187")</f>
        <v>1740728187</v>
      </c>
      <c r="E4464" t="s">
        <v>3067</v>
      </c>
      <c r="F4464" t="s">
        <v>13</v>
      </c>
      <c r="G4464" s="20">
        <v>1</v>
      </c>
      <c r="H4464" t="s">
        <v>3403</v>
      </c>
      <c r="I4464" t="s">
        <v>32</v>
      </c>
      <c r="J4464" s="9">
        <v>54321</v>
      </c>
      <c r="K4464" s="9" t="s">
        <v>23</v>
      </c>
      <c r="L4464" s="9"/>
    </row>
    <row r="4465" spans="2:12" ht="15" x14ac:dyDescent="0.25">
      <c r="B4465" t="s">
        <v>3400</v>
      </c>
      <c r="C4465" t="s">
        <v>3401</v>
      </c>
      <c r="D4465" t="str">
        <f>HYPERLINK("https://rhld.insurance.arkansas.gov/NPILookup?Npi=1740765940","1740765940")</f>
        <v>1740765940</v>
      </c>
      <c r="E4465" t="s">
        <v>3976</v>
      </c>
      <c r="F4465" t="s">
        <v>13</v>
      </c>
      <c r="G4465" s="20">
        <v>1</v>
      </c>
      <c r="H4465" t="s">
        <v>87</v>
      </c>
      <c r="I4465" t="s">
        <v>4357</v>
      </c>
      <c r="J4465" s="9">
        <v>54321</v>
      </c>
      <c r="K4465" s="9" t="s">
        <v>23</v>
      </c>
      <c r="L4465" s="9"/>
    </row>
    <row r="4466" spans="2:12" ht="15" x14ac:dyDescent="0.25">
      <c r="B4466" t="s">
        <v>3400</v>
      </c>
      <c r="C4466" t="s">
        <v>3401</v>
      </c>
      <c r="D4466" t="str">
        <f>HYPERLINK("https://rhld.insurance.arkansas.gov/NPILookup?Npi=1740807759","1740807759")</f>
        <v>1740807759</v>
      </c>
      <c r="E4466" t="s">
        <v>3977</v>
      </c>
      <c r="F4466" t="s">
        <v>13</v>
      </c>
      <c r="G4466" s="20">
        <v>1</v>
      </c>
      <c r="H4466" t="s">
        <v>3403</v>
      </c>
      <c r="I4466" t="s">
        <v>4357</v>
      </c>
      <c r="J4466" s="9">
        <v>54321</v>
      </c>
      <c r="K4466" s="9" t="s">
        <v>23</v>
      </c>
      <c r="L4466" s="9"/>
    </row>
    <row r="4467" spans="2:12" ht="15" x14ac:dyDescent="0.25">
      <c r="B4467" t="s">
        <v>3400</v>
      </c>
      <c r="C4467" t="s">
        <v>3401</v>
      </c>
      <c r="D4467" t="str">
        <f>HYPERLINK("https://rhld.insurance.arkansas.gov/NPILookup?Npi=1740917129","1740917129")</f>
        <v>1740917129</v>
      </c>
      <c r="E4467" t="s">
        <v>3068</v>
      </c>
      <c r="F4467" t="s">
        <v>13</v>
      </c>
      <c r="G4467" s="20">
        <v>1</v>
      </c>
      <c r="H4467" t="s">
        <v>4357</v>
      </c>
      <c r="I4467" t="s">
        <v>4357</v>
      </c>
      <c r="J4467" s="9">
        <v>54321</v>
      </c>
      <c r="K4467" s="9" t="s">
        <v>23</v>
      </c>
      <c r="L4467" s="9"/>
    </row>
    <row r="4468" spans="2:12" ht="15" x14ac:dyDescent="0.25">
      <c r="B4468" t="s">
        <v>3400</v>
      </c>
      <c r="C4468" t="s">
        <v>3401</v>
      </c>
      <c r="D4468" t="str">
        <f>HYPERLINK("https://rhld.insurance.arkansas.gov/NPILookup?Npi=1740922962","1740922962")</f>
        <v>1740922962</v>
      </c>
      <c r="E4468" t="s">
        <v>3069</v>
      </c>
      <c r="F4468" t="s">
        <v>13</v>
      </c>
      <c r="G4468" s="20">
        <v>1</v>
      </c>
      <c r="H4468" t="s">
        <v>3403</v>
      </c>
      <c r="I4468" t="s">
        <v>32</v>
      </c>
      <c r="J4468" s="9">
        <v>54321</v>
      </c>
      <c r="K4468" s="9" t="s">
        <v>4641</v>
      </c>
      <c r="L4468" s="9"/>
    </row>
    <row r="4469" spans="2:12" ht="15" x14ac:dyDescent="0.25">
      <c r="B4469" t="s">
        <v>3400</v>
      </c>
      <c r="C4469" t="s">
        <v>3401</v>
      </c>
      <c r="D4469" t="str">
        <f>HYPERLINK("https://rhld.insurance.arkansas.gov/NPILookup?Npi=1740932722","1740932722")</f>
        <v>1740932722</v>
      </c>
      <c r="E4469" t="s">
        <v>3071</v>
      </c>
      <c r="F4469" t="s">
        <v>13</v>
      </c>
      <c r="G4469" s="20">
        <v>1</v>
      </c>
      <c r="H4469" t="s">
        <v>3403</v>
      </c>
      <c r="I4469" t="s">
        <v>4357</v>
      </c>
      <c r="J4469" s="9">
        <v>54321</v>
      </c>
      <c r="K4469" s="9" t="s">
        <v>23</v>
      </c>
      <c r="L4469" s="9"/>
    </row>
    <row r="4470" spans="2:12" ht="15" x14ac:dyDescent="0.25">
      <c r="B4470" t="s">
        <v>3400</v>
      </c>
      <c r="C4470" t="s">
        <v>3401</v>
      </c>
      <c r="D4470" t="str">
        <f>HYPERLINK("https://rhld.insurance.arkansas.gov/NPILookup?Npi=1740961762","1740961762")</f>
        <v>1740961762</v>
      </c>
      <c r="E4470" t="s">
        <v>3072</v>
      </c>
      <c r="F4470" t="s">
        <v>13</v>
      </c>
      <c r="G4470" s="20">
        <v>1</v>
      </c>
      <c r="H4470" t="s">
        <v>4357</v>
      </c>
      <c r="I4470" t="s">
        <v>4357</v>
      </c>
      <c r="J4470" s="9">
        <v>54321</v>
      </c>
      <c r="K4470" s="9" t="s">
        <v>23</v>
      </c>
      <c r="L4470" s="9"/>
    </row>
    <row r="4471" spans="2:12" ht="15" x14ac:dyDescent="0.25">
      <c r="B4471" t="s">
        <v>3400</v>
      </c>
      <c r="C4471" t="s">
        <v>3401</v>
      </c>
      <c r="D4471" t="str">
        <f>HYPERLINK("https://rhld.insurance.arkansas.gov/NPILookup?Npi=1750100681","1750100681")</f>
        <v>1750100681</v>
      </c>
      <c r="E4471" t="s">
        <v>3073</v>
      </c>
      <c r="F4471" t="s">
        <v>13</v>
      </c>
      <c r="G4471" s="20">
        <v>1</v>
      </c>
      <c r="H4471" t="s">
        <v>4357</v>
      </c>
      <c r="I4471" t="s">
        <v>4357</v>
      </c>
      <c r="J4471" s="9">
        <v>54321</v>
      </c>
      <c r="K4471" s="9" t="s">
        <v>23</v>
      </c>
      <c r="L4471" s="9"/>
    </row>
    <row r="4472" spans="2:12" ht="15" x14ac:dyDescent="0.25">
      <c r="B4472" t="s">
        <v>3400</v>
      </c>
      <c r="C4472" t="s">
        <v>3401</v>
      </c>
      <c r="D4472" t="str">
        <f>HYPERLINK("https://rhld.insurance.arkansas.gov/NPILookup?Npi=1750461166","1750461166")</f>
        <v>1750461166</v>
      </c>
      <c r="E4472" t="s">
        <v>3978</v>
      </c>
      <c r="F4472" t="s">
        <v>12</v>
      </c>
      <c r="G4472" s="20">
        <v>1</v>
      </c>
      <c r="H4472" t="s">
        <v>139</v>
      </c>
      <c r="I4472" t="s">
        <v>4357</v>
      </c>
      <c r="J4472" s="9">
        <v>54321</v>
      </c>
      <c r="K4472" s="9" t="s">
        <v>23</v>
      </c>
      <c r="L4472" s="9"/>
    </row>
    <row r="4473" spans="2:12" ht="15" x14ac:dyDescent="0.25">
      <c r="B4473" t="s">
        <v>3400</v>
      </c>
      <c r="C4473" t="s">
        <v>3401</v>
      </c>
      <c r="D4473" t="str">
        <f>HYPERLINK("https://rhld.insurance.arkansas.gov/NPILookup?Npi=1750472643","1750472643")</f>
        <v>1750472643</v>
      </c>
      <c r="E4473" t="s">
        <v>3979</v>
      </c>
      <c r="F4473" t="s">
        <v>13</v>
      </c>
      <c r="G4473" s="20">
        <v>1</v>
      </c>
      <c r="H4473" t="s">
        <v>3403</v>
      </c>
      <c r="I4473" t="s">
        <v>4357</v>
      </c>
      <c r="J4473" s="9">
        <v>54321</v>
      </c>
      <c r="K4473" s="9" t="s">
        <v>23</v>
      </c>
      <c r="L4473" s="9"/>
    </row>
    <row r="4474" spans="2:12" ht="15" x14ac:dyDescent="0.25">
      <c r="B4474" t="s">
        <v>3400</v>
      </c>
      <c r="C4474" t="s">
        <v>3401</v>
      </c>
      <c r="D4474" t="str">
        <f>HYPERLINK("https://rhld.insurance.arkansas.gov/NPILookup?Npi=1750592440","1750592440")</f>
        <v>1750592440</v>
      </c>
      <c r="E4474" t="s">
        <v>3980</v>
      </c>
      <c r="F4474" t="s">
        <v>13</v>
      </c>
      <c r="G4474" s="20">
        <v>1</v>
      </c>
      <c r="H4474" t="s">
        <v>3403</v>
      </c>
      <c r="I4474" t="s">
        <v>4357</v>
      </c>
      <c r="J4474" s="9">
        <v>54321</v>
      </c>
      <c r="K4474" s="9" t="s">
        <v>23</v>
      </c>
      <c r="L4474" s="9"/>
    </row>
    <row r="4475" spans="2:12" ht="15" x14ac:dyDescent="0.25">
      <c r="B4475" t="s">
        <v>3400</v>
      </c>
      <c r="C4475" t="s">
        <v>3401</v>
      </c>
      <c r="D4475" t="str">
        <f>HYPERLINK("https://rhld.insurance.arkansas.gov/NPILookup?Npi=1750753695","1750753695")</f>
        <v>1750753695</v>
      </c>
      <c r="E4475" t="s">
        <v>3080</v>
      </c>
      <c r="F4475" t="s">
        <v>13</v>
      </c>
      <c r="G4475" s="20">
        <v>1</v>
      </c>
      <c r="H4475" t="s">
        <v>3403</v>
      </c>
      <c r="I4475" t="s">
        <v>4357</v>
      </c>
      <c r="J4475" s="9">
        <v>54321</v>
      </c>
      <c r="K4475" s="9" t="s">
        <v>23</v>
      </c>
      <c r="L4475" s="9"/>
    </row>
    <row r="4476" spans="2:12" ht="15" x14ac:dyDescent="0.25">
      <c r="B4476" t="s">
        <v>3400</v>
      </c>
      <c r="C4476" t="s">
        <v>3401</v>
      </c>
      <c r="D4476" t="str">
        <f>HYPERLINK("https://rhld.insurance.arkansas.gov/NPILookup?Npi=1750821674","1750821674")</f>
        <v>1750821674</v>
      </c>
      <c r="E4476" t="s">
        <v>3083</v>
      </c>
      <c r="F4476" t="s">
        <v>13</v>
      </c>
      <c r="G4476" s="20">
        <v>1</v>
      </c>
      <c r="H4476" t="s">
        <v>3403</v>
      </c>
      <c r="I4476" t="s">
        <v>32</v>
      </c>
      <c r="J4476" s="9">
        <v>54321</v>
      </c>
      <c r="K4476" s="9" t="s">
        <v>23</v>
      </c>
      <c r="L4476" s="9"/>
    </row>
    <row r="4477" spans="2:12" ht="15" x14ac:dyDescent="0.25">
      <c r="B4477" t="s">
        <v>3400</v>
      </c>
      <c r="C4477" t="s">
        <v>3401</v>
      </c>
      <c r="D4477" t="str">
        <f>HYPERLINK("https://rhld.insurance.arkansas.gov/NPILookup?Npi=1750961363","1750961363")</f>
        <v>1750961363</v>
      </c>
      <c r="E4477" t="s">
        <v>3981</v>
      </c>
      <c r="F4477" t="s">
        <v>13</v>
      </c>
      <c r="G4477" s="20">
        <v>1</v>
      </c>
      <c r="H4477" t="s">
        <v>3403</v>
      </c>
      <c r="I4477" t="s">
        <v>4357</v>
      </c>
      <c r="J4477" s="9">
        <v>54321</v>
      </c>
      <c r="K4477" s="9" t="s">
        <v>23</v>
      </c>
      <c r="L4477" s="9"/>
    </row>
    <row r="4478" spans="2:12" ht="15" x14ac:dyDescent="0.25">
      <c r="B4478" t="s">
        <v>3400</v>
      </c>
      <c r="C4478" t="s">
        <v>3401</v>
      </c>
      <c r="D4478" t="str">
        <f>HYPERLINK("https://rhld.insurance.arkansas.gov/NPILookup?Npi=1760047906","1760047906")</f>
        <v>1760047906</v>
      </c>
      <c r="E4478" t="s">
        <v>3982</v>
      </c>
      <c r="F4478" t="s">
        <v>13</v>
      </c>
      <c r="G4478" s="20">
        <v>1</v>
      </c>
      <c r="H4478" t="s">
        <v>3403</v>
      </c>
      <c r="I4478" t="s">
        <v>4357</v>
      </c>
      <c r="J4478" s="9">
        <v>54321</v>
      </c>
      <c r="K4478" s="9" t="s">
        <v>23</v>
      </c>
      <c r="L4478" s="9"/>
    </row>
    <row r="4479" spans="2:12" ht="15" x14ac:dyDescent="0.25">
      <c r="B4479" t="s">
        <v>3400</v>
      </c>
      <c r="C4479" t="s">
        <v>3401</v>
      </c>
      <c r="D4479" t="str">
        <f>HYPERLINK("https://rhld.insurance.arkansas.gov/NPILookup?Npi=1760050132","1760050132")</f>
        <v>1760050132</v>
      </c>
      <c r="E4479" t="s">
        <v>3983</v>
      </c>
      <c r="F4479" t="s">
        <v>13</v>
      </c>
      <c r="G4479" s="20">
        <v>1</v>
      </c>
      <c r="H4479" t="s">
        <v>3403</v>
      </c>
      <c r="I4479" t="s">
        <v>32</v>
      </c>
      <c r="J4479" s="9">
        <v>54321</v>
      </c>
      <c r="K4479" s="9" t="s">
        <v>23</v>
      </c>
      <c r="L4479" s="9"/>
    </row>
    <row r="4480" spans="2:12" ht="15" x14ac:dyDescent="0.25">
      <c r="B4480" t="s">
        <v>3400</v>
      </c>
      <c r="C4480" t="s">
        <v>3401</v>
      </c>
      <c r="D4480" t="str">
        <f>HYPERLINK("https://rhld.insurance.arkansas.gov/NPILookup?Npi=1760062616","1760062616")</f>
        <v>1760062616</v>
      </c>
      <c r="E4480" t="s">
        <v>3086</v>
      </c>
      <c r="F4480" t="s">
        <v>13</v>
      </c>
      <c r="G4480" s="20">
        <v>1</v>
      </c>
      <c r="H4480" t="s">
        <v>3403</v>
      </c>
      <c r="I4480" t="s">
        <v>4357</v>
      </c>
      <c r="J4480" s="9">
        <v>54321</v>
      </c>
      <c r="K4480" s="9" t="s">
        <v>23</v>
      </c>
      <c r="L4480" s="9"/>
    </row>
    <row r="4481" spans="2:12" ht="15" x14ac:dyDescent="0.25">
      <c r="B4481" t="s">
        <v>3400</v>
      </c>
      <c r="C4481" t="s">
        <v>3401</v>
      </c>
      <c r="D4481" t="str">
        <f>HYPERLINK("https://rhld.insurance.arkansas.gov/NPILookup?Npi=1760155121","1760155121")</f>
        <v>1760155121</v>
      </c>
      <c r="E4481" t="s">
        <v>3984</v>
      </c>
      <c r="F4481" t="s">
        <v>13</v>
      </c>
      <c r="G4481" s="20">
        <v>1</v>
      </c>
      <c r="H4481" t="s">
        <v>3403</v>
      </c>
      <c r="I4481" t="s">
        <v>32</v>
      </c>
      <c r="J4481" s="9">
        <v>54321</v>
      </c>
      <c r="K4481" s="9" t="s">
        <v>23</v>
      </c>
      <c r="L4481" s="9"/>
    </row>
    <row r="4482" spans="2:12" ht="15" x14ac:dyDescent="0.25">
      <c r="B4482" t="s">
        <v>3400</v>
      </c>
      <c r="C4482" t="s">
        <v>3401</v>
      </c>
      <c r="D4482" t="str">
        <f>HYPERLINK("https://rhld.insurance.arkansas.gov/NPILookup?Npi=1760208441","1760208441")</f>
        <v>1760208441</v>
      </c>
      <c r="E4482" t="s">
        <v>2092</v>
      </c>
      <c r="F4482" t="s">
        <v>13</v>
      </c>
      <c r="G4482" s="20">
        <v>1</v>
      </c>
      <c r="H4482" t="s">
        <v>4357</v>
      </c>
      <c r="I4482" t="s">
        <v>4357</v>
      </c>
      <c r="J4482" s="9">
        <v>54321</v>
      </c>
      <c r="K4482" s="9" t="s">
        <v>23</v>
      </c>
      <c r="L4482" s="9"/>
    </row>
    <row r="4483" spans="2:12" ht="15" x14ac:dyDescent="0.25">
      <c r="B4483" t="s">
        <v>3400</v>
      </c>
      <c r="C4483" t="s">
        <v>3401</v>
      </c>
      <c r="D4483" t="str">
        <f>HYPERLINK("https://rhld.insurance.arkansas.gov/NPILookup?Npi=1760451876","1760451876")</f>
        <v>1760451876</v>
      </c>
      <c r="E4483" t="s">
        <v>818</v>
      </c>
      <c r="F4483" t="s">
        <v>13</v>
      </c>
      <c r="G4483" s="20">
        <v>1</v>
      </c>
      <c r="H4483" t="s">
        <v>3403</v>
      </c>
      <c r="I4483" t="s">
        <v>32</v>
      </c>
      <c r="J4483" s="9">
        <v>54321</v>
      </c>
      <c r="K4483" s="9" t="s">
        <v>23</v>
      </c>
      <c r="L4483" s="9"/>
    </row>
    <row r="4484" spans="2:12" ht="15" x14ac:dyDescent="0.25">
      <c r="B4484" t="s">
        <v>3400</v>
      </c>
      <c r="C4484" t="s">
        <v>3401</v>
      </c>
      <c r="D4484" t="str">
        <f>HYPERLINK("https://rhld.insurance.arkansas.gov/NPILookup?Npi=1760465090","1760465090")</f>
        <v>1760465090</v>
      </c>
      <c r="E4484" t="s">
        <v>3088</v>
      </c>
      <c r="F4484" t="s">
        <v>13</v>
      </c>
      <c r="G4484" s="20">
        <v>1</v>
      </c>
      <c r="H4484" t="s">
        <v>3403</v>
      </c>
      <c r="I4484" t="s">
        <v>4357</v>
      </c>
      <c r="J4484" s="9">
        <v>54321</v>
      </c>
      <c r="K4484" s="9" t="s">
        <v>23</v>
      </c>
      <c r="L4484" s="9"/>
    </row>
    <row r="4485" spans="2:12" ht="15" x14ac:dyDescent="0.25">
      <c r="B4485" t="s">
        <v>3400</v>
      </c>
      <c r="C4485" t="s">
        <v>3401</v>
      </c>
      <c r="D4485" t="str">
        <f>HYPERLINK("https://rhld.insurance.arkansas.gov/NPILookup?Npi=1760521777","1760521777")</f>
        <v>1760521777</v>
      </c>
      <c r="E4485" t="s">
        <v>820</v>
      </c>
      <c r="F4485" t="s">
        <v>13</v>
      </c>
      <c r="G4485" s="20">
        <v>1</v>
      </c>
      <c r="H4485" t="s">
        <v>3403</v>
      </c>
      <c r="I4485" t="s">
        <v>32</v>
      </c>
      <c r="J4485" s="9">
        <v>54321</v>
      </c>
      <c r="K4485" s="9" t="s">
        <v>23</v>
      </c>
      <c r="L4485" s="9"/>
    </row>
    <row r="4486" spans="2:12" ht="15" x14ac:dyDescent="0.25">
      <c r="B4486" t="s">
        <v>3400</v>
      </c>
      <c r="C4486" t="s">
        <v>3401</v>
      </c>
      <c r="D4486" t="str">
        <f>HYPERLINK("https://rhld.insurance.arkansas.gov/NPILookup?Npi=1760699938","1760699938")</f>
        <v>1760699938</v>
      </c>
      <c r="E4486" t="s">
        <v>3985</v>
      </c>
      <c r="F4486" t="s">
        <v>13</v>
      </c>
      <c r="G4486" s="20">
        <v>1</v>
      </c>
      <c r="H4486" t="s">
        <v>3403</v>
      </c>
      <c r="I4486" t="s">
        <v>32</v>
      </c>
      <c r="J4486" s="9">
        <v>54321</v>
      </c>
      <c r="K4486" s="9" t="s">
        <v>23</v>
      </c>
      <c r="L4486" s="9"/>
    </row>
    <row r="4487" spans="2:12" ht="15" x14ac:dyDescent="0.25">
      <c r="B4487" t="s">
        <v>3400</v>
      </c>
      <c r="C4487" t="s">
        <v>3401</v>
      </c>
      <c r="D4487" t="str">
        <f>HYPERLINK("https://rhld.insurance.arkansas.gov/NPILookup?Npi=1760742084","1760742084")</f>
        <v>1760742084</v>
      </c>
      <c r="E4487" t="s">
        <v>3986</v>
      </c>
      <c r="F4487" t="s">
        <v>13</v>
      </c>
      <c r="G4487" s="20">
        <v>1</v>
      </c>
      <c r="H4487" t="s">
        <v>3403</v>
      </c>
      <c r="I4487" t="s">
        <v>4357</v>
      </c>
      <c r="J4487" s="9">
        <v>54321</v>
      </c>
      <c r="K4487" s="9" t="s">
        <v>23</v>
      </c>
      <c r="L4487" s="9"/>
    </row>
    <row r="4488" spans="2:12" ht="15" x14ac:dyDescent="0.25">
      <c r="B4488" t="s">
        <v>3400</v>
      </c>
      <c r="C4488" t="s">
        <v>3401</v>
      </c>
      <c r="D4488" t="str">
        <f>HYPERLINK("https://rhld.insurance.arkansas.gov/NPILookup?Npi=1760842868","1760842868")</f>
        <v>1760842868</v>
      </c>
      <c r="E4488" t="s">
        <v>3096</v>
      </c>
      <c r="F4488" t="s">
        <v>13</v>
      </c>
      <c r="G4488" s="20">
        <v>1</v>
      </c>
      <c r="H4488" t="s">
        <v>4357</v>
      </c>
      <c r="I4488" t="s">
        <v>4357</v>
      </c>
      <c r="J4488" s="9">
        <v>54321</v>
      </c>
      <c r="K4488" s="9" t="s">
        <v>23</v>
      </c>
      <c r="L4488" s="9"/>
    </row>
    <row r="4489" spans="2:12" ht="15" x14ac:dyDescent="0.25">
      <c r="B4489" t="s">
        <v>3400</v>
      </c>
      <c r="C4489" t="s">
        <v>3401</v>
      </c>
      <c r="D4489" t="str">
        <f>HYPERLINK("https://rhld.insurance.arkansas.gov/NPILookup?Npi=1760892756","1760892756")</f>
        <v>1760892756</v>
      </c>
      <c r="E4489" t="s">
        <v>3987</v>
      </c>
      <c r="F4489" t="s">
        <v>13</v>
      </c>
      <c r="G4489" s="20">
        <v>1</v>
      </c>
      <c r="H4489" t="s">
        <v>3403</v>
      </c>
      <c r="I4489" t="s">
        <v>32</v>
      </c>
      <c r="J4489" s="9">
        <v>54321</v>
      </c>
      <c r="K4489" s="9" t="s">
        <v>23</v>
      </c>
      <c r="L4489" s="9"/>
    </row>
    <row r="4490" spans="2:12" ht="15" x14ac:dyDescent="0.25">
      <c r="B4490" t="s">
        <v>3400</v>
      </c>
      <c r="C4490" t="s">
        <v>3401</v>
      </c>
      <c r="D4490" t="str">
        <f>HYPERLINK("https://rhld.insurance.arkansas.gov/NPILookup?Npi=1760957351","1760957351")</f>
        <v>1760957351</v>
      </c>
      <c r="E4490" t="s">
        <v>3988</v>
      </c>
      <c r="F4490" t="s">
        <v>13</v>
      </c>
      <c r="G4490" s="20">
        <v>1</v>
      </c>
      <c r="H4490" t="s">
        <v>3403</v>
      </c>
      <c r="I4490" t="s">
        <v>32</v>
      </c>
      <c r="J4490" s="9">
        <v>54321</v>
      </c>
      <c r="K4490" s="9" t="s">
        <v>23</v>
      </c>
      <c r="L4490" s="9"/>
    </row>
    <row r="4491" spans="2:12" ht="15" x14ac:dyDescent="0.25">
      <c r="B4491" t="s">
        <v>3400</v>
      </c>
      <c r="C4491" t="s">
        <v>3401</v>
      </c>
      <c r="D4491" t="str">
        <f>HYPERLINK("https://rhld.insurance.arkansas.gov/NPILookup?Npi=1760964829","1760964829")</f>
        <v>1760964829</v>
      </c>
      <c r="E4491" t="s">
        <v>3101</v>
      </c>
      <c r="F4491" t="s">
        <v>13</v>
      </c>
      <c r="G4491" s="20">
        <v>1</v>
      </c>
      <c r="H4491" t="s">
        <v>4357</v>
      </c>
      <c r="I4491" t="s">
        <v>4357</v>
      </c>
      <c r="J4491" s="9">
        <v>54321</v>
      </c>
      <c r="K4491" s="9" t="s">
        <v>23</v>
      </c>
      <c r="L4491" s="9"/>
    </row>
    <row r="4492" spans="2:12" ht="15" x14ac:dyDescent="0.25">
      <c r="B4492" t="s">
        <v>3400</v>
      </c>
      <c r="C4492" t="s">
        <v>3401</v>
      </c>
      <c r="D4492" t="str">
        <f>HYPERLINK("https://rhld.insurance.arkansas.gov/NPILookup?Npi=1770040222","1770040222")</f>
        <v>1770040222</v>
      </c>
      <c r="E4492" t="s">
        <v>3989</v>
      </c>
      <c r="F4492" t="s">
        <v>13</v>
      </c>
      <c r="G4492" s="20">
        <v>1</v>
      </c>
      <c r="H4492" t="s">
        <v>3403</v>
      </c>
      <c r="I4492" t="s">
        <v>4357</v>
      </c>
      <c r="J4492" s="9">
        <v>54321</v>
      </c>
      <c r="K4492" s="9" t="s">
        <v>23</v>
      </c>
      <c r="L4492" s="9"/>
    </row>
    <row r="4493" spans="2:12" ht="15" x14ac:dyDescent="0.25">
      <c r="B4493" t="s">
        <v>3400</v>
      </c>
      <c r="C4493" t="s">
        <v>3401</v>
      </c>
      <c r="D4493" t="str">
        <f>HYPERLINK("https://rhld.insurance.arkansas.gov/NPILookup?Npi=1770048084","1770048084")</f>
        <v>1770048084</v>
      </c>
      <c r="E4493" t="s">
        <v>3103</v>
      </c>
      <c r="F4493" t="s">
        <v>13</v>
      </c>
      <c r="G4493" s="20">
        <v>1</v>
      </c>
      <c r="H4493" t="s">
        <v>3403</v>
      </c>
      <c r="I4493" t="s">
        <v>32</v>
      </c>
      <c r="J4493" s="9">
        <v>54321</v>
      </c>
      <c r="K4493" s="9" t="s">
        <v>23</v>
      </c>
      <c r="L4493" s="9"/>
    </row>
    <row r="4494" spans="2:12" ht="15" x14ac:dyDescent="0.25">
      <c r="B4494" t="s">
        <v>3400</v>
      </c>
      <c r="C4494" t="s">
        <v>3401</v>
      </c>
      <c r="D4494" t="str">
        <f>HYPERLINK("https://rhld.insurance.arkansas.gov/NPILookup?Npi=1770065799","1770065799")</f>
        <v>1770065799</v>
      </c>
      <c r="E4494" t="s">
        <v>3104</v>
      </c>
      <c r="F4494" t="s">
        <v>13</v>
      </c>
      <c r="G4494" s="20">
        <v>1</v>
      </c>
      <c r="H4494" t="s">
        <v>3403</v>
      </c>
      <c r="I4494" t="s">
        <v>4357</v>
      </c>
      <c r="J4494" s="9">
        <v>54321</v>
      </c>
      <c r="K4494" s="9" t="s">
        <v>23</v>
      </c>
      <c r="L4494" s="9"/>
    </row>
    <row r="4495" spans="2:12" ht="15" x14ac:dyDescent="0.25">
      <c r="B4495" t="s">
        <v>3400</v>
      </c>
      <c r="C4495" t="s">
        <v>3401</v>
      </c>
      <c r="D4495" t="str">
        <f>HYPERLINK("https://rhld.insurance.arkansas.gov/NPILookup?Npi=1770072332","1770072332")</f>
        <v>1770072332</v>
      </c>
      <c r="E4495" t="s">
        <v>3105</v>
      </c>
      <c r="F4495" t="s">
        <v>13</v>
      </c>
      <c r="G4495" s="20">
        <v>1</v>
      </c>
      <c r="H4495" t="s">
        <v>3403</v>
      </c>
      <c r="I4495" t="s">
        <v>4357</v>
      </c>
      <c r="J4495" s="9">
        <v>54321</v>
      </c>
      <c r="K4495" s="9" t="s">
        <v>23</v>
      </c>
      <c r="L4495" s="9"/>
    </row>
    <row r="4496" spans="2:12" ht="15" x14ac:dyDescent="0.25">
      <c r="B4496" t="s">
        <v>3400</v>
      </c>
      <c r="C4496" t="s">
        <v>3401</v>
      </c>
      <c r="D4496" t="str">
        <f>HYPERLINK("https://rhld.insurance.arkansas.gov/NPILookup?Npi=1770136202","1770136202")</f>
        <v>1770136202</v>
      </c>
      <c r="E4496" t="s">
        <v>3106</v>
      </c>
      <c r="F4496" t="s">
        <v>13</v>
      </c>
      <c r="G4496" s="20">
        <v>1</v>
      </c>
      <c r="H4496" t="s">
        <v>4357</v>
      </c>
      <c r="I4496" t="s">
        <v>4357</v>
      </c>
      <c r="J4496" s="9">
        <v>54321</v>
      </c>
      <c r="K4496" s="9" t="s">
        <v>23</v>
      </c>
      <c r="L4496" s="9"/>
    </row>
    <row r="4497" spans="2:12" ht="15" x14ac:dyDescent="0.25">
      <c r="B4497" t="s">
        <v>3400</v>
      </c>
      <c r="C4497" t="s">
        <v>3401</v>
      </c>
      <c r="D4497" t="str">
        <f>HYPERLINK("https://rhld.insurance.arkansas.gov/NPILookup?Npi=1770153538","1770153538")</f>
        <v>1770153538</v>
      </c>
      <c r="E4497" t="s">
        <v>3107</v>
      </c>
      <c r="F4497" t="s">
        <v>13</v>
      </c>
      <c r="G4497" s="20">
        <v>1</v>
      </c>
      <c r="H4497" t="s">
        <v>4357</v>
      </c>
      <c r="I4497" t="s">
        <v>4357</v>
      </c>
      <c r="J4497" s="9">
        <v>54321</v>
      </c>
      <c r="K4497" s="9" t="s">
        <v>23</v>
      </c>
      <c r="L4497" s="9"/>
    </row>
    <row r="4498" spans="2:12" ht="15" x14ac:dyDescent="0.25">
      <c r="B4498" t="s">
        <v>3400</v>
      </c>
      <c r="C4498" t="s">
        <v>3401</v>
      </c>
      <c r="D4498" t="str">
        <f>HYPERLINK("https://rhld.insurance.arkansas.gov/NPILookup?Npi=1770162703","1770162703")</f>
        <v>1770162703</v>
      </c>
      <c r="E4498" t="s">
        <v>3990</v>
      </c>
      <c r="F4498" t="s">
        <v>13</v>
      </c>
      <c r="G4498" s="20">
        <v>1</v>
      </c>
      <c r="H4498" t="s">
        <v>4357</v>
      </c>
      <c r="I4498" t="s">
        <v>4357</v>
      </c>
      <c r="J4498" s="9">
        <v>54321</v>
      </c>
      <c r="K4498" s="9" t="s">
        <v>23</v>
      </c>
      <c r="L4498" s="9"/>
    </row>
    <row r="4499" spans="2:12" ht="15" x14ac:dyDescent="0.25">
      <c r="B4499" t="s">
        <v>3400</v>
      </c>
      <c r="C4499" t="s">
        <v>3401</v>
      </c>
      <c r="D4499" t="str">
        <f>HYPERLINK("https://rhld.insurance.arkansas.gov/NPILookup?Npi=1770165706","1770165706")</f>
        <v>1770165706</v>
      </c>
      <c r="E4499" t="s">
        <v>3108</v>
      </c>
      <c r="F4499" t="s">
        <v>13</v>
      </c>
      <c r="G4499" s="20">
        <v>1</v>
      </c>
      <c r="H4499" t="s">
        <v>4357</v>
      </c>
      <c r="I4499" t="s">
        <v>4357</v>
      </c>
      <c r="J4499" s="9">
        <v>54321</v>
      </c>
      <c r="K4499" s="9" t="s">
        <v>23</v>
      </c>
      <c r="L4499" s="9"/>
    </row>
    <row r="4500" spans="2:12" ht="15" x14ac:dyDescent="0.25">
      <c r="B4500" t="s">
        <v>3400</v>
      </c>
      <c r="C4500" t="s">
        <v>3401</v>
      </c>
      <c r="D4500" t="str">
        <f>HYPERLINK("https://rhld.insurance.arkansas.gov/NPILookup?Npi=1770185068","1770185068")</f>
        <v>1770185068</v>
      </c>
      <c r="E4500" t="s">
        <v>3109</v>
      </c>
      <c r="F4500" t="s">
        <v>13</v>
      </c>
      <c r="G4500" s="20">
        <v>1</v>
      </c>
      <c r="H4500" t="s">
        <v>4357</v>
      </c>
      <c r="I4500" t="s">
        <v>4357</v>
      </c>
      <c r="J4500" s="9">
        <v>54321</v>
      </c>
      <c r="K4500" s="9" t="s">
        <v>23</v>
      </c>
      <c r="L4500" s="9"/>
    </row>
    <row r="4501" spans="2:12" ht="15" x14ac:dyDescent="0.25">
      <c r="B4501" t="s">
        <v>3400</v>
      </c>
      <c r="C4501" t="s">
        <v>3401</v>
      </c>
      <c r="D4501" t="str">
        <f>HYPERLINK("https://rhld.insurance.arkansas.gov/NPILookup?Npi=1770228330","1770228330")</f>
        <v>1770228330</v>
      </c>
      <c r="E4501" t="s">
        <v>3111</v>
      </c>
      <c r="F4501" t="s">
        <v>13</v>
      </c>
      <c r="G4501" s="20">
        <v>1</v>
      </c>
      <c r="H4501" t="s">
        <v>4357</v>
      </c>
      <c r="I4501" t="s">
        <v>4357</v>
      </c>
      <c r="J4501" s="9">
        <v>54321</v>
      </c>
      <c r="K4501" s="9" t="s">
        <v>4639</v>
      </c>
      <c r="L4501" s="9"/>
    </row>
    <row r="4502" spans="2:12" ht="15" x14ac:dyDescent="0.25">
      <c r="B4502" t="s">
        <v>3400</v>
      </c>
      <c r="C4502" t="s">
        <v>3401</v>
      </c>
      <c r="D4502" t="str">
        <f>HYPERLINK("https://rhld.insurance.arkansas.gov/NPILookup?Npi=1770358780","1770358780")</f>
        <v>1770358780</v>
      </c>
      <c r="E4502" t="s">
        <v>3991</v>
      </c>
      <c r="F4502" t="s">
        <v>13</v>
      </c>
      <c r="G4502" s="20">
        <v>1</v>
      </c>
      <c r="H4502" t="s">
        <v>3403</v>
      </c>
      <c r="I4502" t="s">
        <v>32</v>
      </c>
      <c r="J4502" s="9">
        <v>54321</v>
      </c>
      <c r="K4502" s="9" t="s">
        <v>23</v>
      </c>
      <c r="L4502" s="9"/>
    </row>
    <row r="4503" spans="2:12" ht="15" x14ac:dyDescent="0.25">
      <c r="B4503" t="s">
        <v>3400</v>
      </c>
      <c r="C4503" t="s">
        <v>3401</v>
      </c>
      <c r="D4503" t="str">
        <f>HYPERLINK("https://rhld.insurance.arkansas.gov/NPILookup?Npi=1770661704","1770661704")</f>
        <v>1770661704</v>
      </c>
      <c r="E4503" t="s">
        <v>3992</v>
      </c>
      <c r="F4503" t="s">
        <v>13</v>
      </c>
      <c r="G4503" s="20">
        <v>1</v>
      </c>
      <c r="H4503" t="s">
        <v>3403</v>
      </c>
      <c r="I4503" t="s">
        <v>4357</v>
      </c>
      <c r="J4503" s="9">
        <v>54321</v>
      </c>
      <c r="K4503" s="9" t="s">
        <v>23</v>
      </c>
      <c r="L4503" s="9"/>
    </row>
    <row r="4504" spans="2:12" ht="15" x14ac:dyDescent="0.25">
      <c r="B4504" t="s">
        <v>3400</v>
      </c>
      <c r="C4504" t="s">
        <v>3401</v>
      </c>
      <c r="D4504" t="str">
        <f>HYPERLINK("https://rhld.insurance.arkansas.gov/NPILookup?Npi=1770780280","1770780280")</f>
        <v>1770780280</v>
      </c>
      <c r="E4504" t="s">
        <v>3993</v>
      </c>
      <c r="F4504" t="s">
        <v>13</v>
      </c>
      <c r="G4504" s="20">
        <v>1</v>
      </c>
      <c r="H4504" t="s">
        <v>4357</v>
      </c>
      <c r="I4504" t="s">
        <v>4357</v>
      </c>
      <c r="J4504" s="9">
        <v>54321</v>
      </c>
      <c r="K4504" s="9" t="s">
        <v>23</v>
      </c>
      <c r="L4504" s="9"/>
    </row>
    <row r="4505" spans="2:12" ht="15" x14ac:dyDescent="0.25">
      <c r="B4505" t="s">
        <v>3400</v>
      </c>
      <c r="C4505" t="s">
        <v>3401</v>
      </c>
      <c r="D4505" t="str">
        <f>HYPERLINK("https://rhld.insurance.arkansas.gov/NPILookup?Npi=1770808396","1770808396")</f>
        <v>1770808396</v>
      </c>
      <c r="E4505" t="s">
        <v>3113</v>
      </c>
      <c r="F4505" t="s">
        <v>12</v>
      </c>
      <c r="G4505" s="20">
        <v>1</v>
      </c>
      <c r="H4505" t="s">
        <v>4338</v>
      </c>
      <c r="I4505" t="s">
        <v>32</v>
      </c>
      <c r="J4505" s="9">
        <v>54321</v>
      </c>
      <c r="K4505" s="9" t="s">
        <v>23</v>
      </c>
      <c r="L4505" s="9"/>
    </row>
    <row r="4506" spans="2:12" ht="15" x14ac:dyDescent="0.25">
      <c r="B4506" t="s">
        <v>3400</v>
      </c>
      <c r="C4506" t="s">
        <v>3401</v>
      </c>
      <c r="D4506" t="str">
        <f>HYPERLINK("https://rhld.insurance.arkansas.gov/NPILookup?Npi=1770908998","1770908998")</f>
        <v>1770908998</v>
      </c>
      <c r="E4506" t="s">
        <v>3994</v>
      </c>
      <c r="F4506" t="s">
        <v>13</v>
      </c>
      <c r="G4506" s="20">
        <v>1</v>
      </c>
      <c r="H4506" t="s">
        <v>3403</v>
      </c>
      <c r="I4506" t="s">
        <v>4357</v>
      </c>
      <c r="J4506" s="9">
        <v>54321</v>
      </c>
      <c r="K4506" s="9" t="s">
        <v>23</v>
      </c>
      <c r="L4506" s="9"/>
    </row>
    <row r="4507" spans="2:12" ht="15" x14ac:dyDescent="0.25">
      <c r="B4507" t="s">
        <v>3400</v>
      </c>
      <c r="C4507" t="s">
        <v>3401</v>
      </c>
      <c r="D4507" t="str">
        <f>HYPERLINK("https://rhld.insurance.arkansas.gov/NPILookup?Npi=1770941171","1770941171")</f>
        <v>1770941171</v>
      </c>
      <c r="E4507" t="s">
        <v>3114</v>
      </c>
      <c r="F4507" t="s">
        <v>13</v>
      </c>
      <c r="G4507" s="20">
        <v>1</v>
      </c>
      <c r="H4507" t="s">
        <v>4357</v>
      </c>
      <c r="I4507" t="s">
        <v>4357</v>
      </c>
      <c r="J4507" s="9">
        <v>54321</v>
      </c>
      <c r="K4507" s="9" t="s">
        <v>23</v>
      </c>
      <c r="L4507" s="9"/>
    </row>
    <row r="4508" spans="2:12" ht="15" x14ac:dyDescent="0.25">
      <c r="B4508" t="s">
        <v>3400</v>
      </c>
      <c r="C4508" t="s">
        <v>3401</v>
      </c>
      <c r="D4508" t="str">
        <f>HYPERLINK("https://rhld.insurance.arkansas.gov/NPILookup?Npi=1780027144","1780027144")</f>
        <v>1780027144</v>
      </c>
      <c r="E4508" t="s">
        <v>3116</v>
      </c>
      <c r="F4508" t="s">
        <v>13</v>
      </c>
      <c r="G4508" s="20">
        <v>1</v>
      </c>
      <c r="H4508" t="s">
        <v>3403</v>
      </c>
      <c r="I4508" t="s">
        <v>4357</v>
      </c>
      <c r="J4508" s="9">
        <v>54321</v>
      </c>
      <c r="K4508" s="9" t="s">
        <v>23</v>
      </c>
      <c r="L4508" s="9"/>
    </row>
    <row r="4509" spans="2:12" ht="15" x14ac:dyDescent="0.25">
      <c r="B4509" t="s">
        <v>3400</v>
      </c>
      <c r="C4509" t="s">
        <v>3401</v>
      </c>
      <c r="D4509" t="str">
        <f>HYPERLINK("https://rhld.insurance.arkansas.gov/NPILookup?Npi=1780075473","1780075473")</f>
        <v>1780075473</v>
      </c>
      <c r="E4509" t="s">
        <v>3995</v>
      </c>
      <c r="F4509" t="s">
        <v>13</v>
      </c>
      <c r="G4509" s="20">
        <v>1</v>
      </c>
      <c r="H4509" t="s">
        <v>3403</v>
      </c>
      <c r="I4509" t="s">
        <v>32</v>
      </c>
      <c r="J4509" s="9">
        <v>54321</v>
      </c>
      <c r="K4509" s="9" t="s">
        <v>23</v>
      </c>
      <c r="L4509" s="9"/>
    </row>
    <row r="4510" spans="2:12" ht="15" x14ac:dyDescent="0.25">
      <c r="B4510" t="s">
        <v>3400</v>
      </c>
      <c r="C4510" t="s">
        <v>3401</v>
      </c>
      <c r="D4510" t="str">
        <f>HYPERLINK("https://rhld.insurance.arkansas.gov/NPILookup?Npi=1780099598","1780099598")</f>
        <v>1780099598</v>
      </c>
      <c r="E4510" t="s">
        <v>2093</v>
      </c>
      <c r="F4510" t="s">
        <v>13</v>
      </c>
      <c r="G4510" s="20">
        <v>1</v>
      </c>
      <c r="H4510" t="s">
        <v>4357</v>
      </c>
      <c r="I4510" t="s">
        <v>4357</v>
      </c>
      <c r="J4510" s="9">
        <v>54321</v>
      </c>
      <c r="K4510" s="9" t="s">
        <v>23</v>
      </c>
      <c r="L4510" s="9"/>
    </row>
    <row r="4511" spans="2:12" ht="15" x14ac:dyDescent="0.25">
      <c r="B4511" t="s">
        <v>3400</v>
      </c>
      <c r="C4511" t="s">
        <v>3401</v>
      </c>
      <c r="D4511" t="str">
        <f>HYPERLINK("https://rhld.insurance.arkansas.gov/NPILookup?Npi=1780107219","1780107219")</f>
        <v>1780107219</v>
      </c>
      <c r="E4511" t="s">
        <v>3117</v>
      </c>
      <c r="F4511" t="s">
        <v>13</v>
      </c>
      <c r="G4511" s="20">
        <v>1</v>
      </c>
      <c r="H4511" t="s">
        <v>4357</v>
      </c>
      <c r="I4511" t="s">
        <v>4357</v>
      </c>
      <c r="J4511" s="9">
        <v>54321</v>
      </c>
      <c r="K4511" s="9" t="s">
        <v>23</v>
      </c>
      <c r="L4511" s="9"/>
    </row>
    <row r="4512" spans="2:12" ht="15" x14ac:dyDescent="0.25">
      <c r="B4512" t="s">
        <v>3400</v>
      </c>
      <c r="C4512" t="s">
        <v>3401</v>
      </c>
      <c r="D4512" t="str">
        <f>HYPERLINK("https://rhld.insurance.arkansas.gov/NPILookup?Npi=1780137349","1780137349")</f>
        <v>1780137349</v>
      </c>
      <c r="E4512" t="s">
        <v>3996</v>
      </c>
      <c r="F4512" t="s">
        <v>13</v>
      </c>
      <c r="G4512" s="20">
        <v>1</v>
      </c>
      <c r="H4512" t="s">
        <v>3403</v>
      </c>
      <c r="I4512" t="s">
        <v>32</v>
      </c>
      <c r="J4512" s="9">
        <v>54321</v>
      </c>
      <c r="K4512" s="9" t="s">
        <v>23</v>
      </c>
      <c r="L4512" s="9"/>
    </row>
    <row r="4513" spans="2:12" ht="15" x14ac:dyDescent="0.25">
      <c r="B4513" t="s">
        <v>3400</v>
      </c>
      <c r="C4513" t="s">
        <v>3401</v>
      </c>
      <c r="D4513" t="str">
        <f>HYPERLINK("https://rhld.insurance.arkansas.gov/NPILookup?Npi=1780160085","1780160085")</f>
        <v>1780160085</v>
      </c>
      <c r="E4513" t="s">
        <v>3997</v>
      </c>
      <c r="F4513" t="s">
        <v>13</v>
      </c>
      <c r="G4513" s="20">
        <v>1</v>
      </c>
      <c r="H4513" t="s">
        <v>3403</v>
      </c>
      <c r="I4513" t="s">
        <v>32</v>
      </c>
      <c r="J4513" s="9">
        <v>54321</v>
      </c>
      <c r="K4513" s="9" t="s">
        <v>23</v>
      </c>
      <c r="L4513" s="9"/>
    </row>
    <row r="4514" spans="2:12" ht="15" x14ac:dyDescent="0.25">
      <c r="B4514" t="s">
        <v>3400</v>
      </c>
      <c r="C4514" t="s">
        <v>3401</v>
      </c>
      <c r="D4514" t="str">
        <f>HYPERLINK("https://rhld.insurance.arkansas.gov/NPILookup?Npi=1780169441","1780169441")</f>
        <v>1780169441</v>
      </c>
      <c r="E4514" t="s">
        <v>3998</v>
      </c>
      <c r="F4514" t="s">
        <v>13</v>
      </c>
      <c r="G4514" s="20">
        <v>1</v>
      </c>
      <c r="H4514" t="s">
        <v>87</v>
      </c>
      <c r="I4514" t="s">
        <v>4357</v>
      </c>
      <c r="J4514" s="9">
        <v>54321</v>
      </c>
      <c r="K4514" s="9" t="s">
        <v>23</v>
      </c>
      <c r="L4514" s="9"/>
    </row>
    <row r="4515" spans="2:12" ht="15" x14ac:dyDescent="0.25">
      <c r="B4515" t="s">
        <v>3400</v>
      </c>
      <c r="C4515" t="s">
        <v>3401</v>
      </c>
      <c r="D4515" t="str">
        <f>HYPERLINK("https://rhld.insurance.arkansas.gov/NPILookup?Npi=1780244517","1780244517")</f>
        <v>1780244517</v>
      </c>
      <c r="E4515" t="s">
        <v>3999</v>
      </c>
      <c r="F4515" t="s">
        <v>13</v>
      </c>
      <c r="G4515" s="20">
        <v>1</v>
      </c>
      <c r="H4515" t="s">
        <v>3403</v>
      </c>
      <c r="I4515" t="s">
        <v>32</v>
      </c>
      <c r="J4515" s="9">
        <v>54321</v>
      </c>
      <c r="K4515" s="9" t="s">
        <v>23</v>
      </c>
      <c r="L4515" s="9"/>
    </row>
    <row r="4516" spans="2:12" ht="15" x14ac:dyDescent="0.25">
      <c r="B4516" t="s">
        <v>3400</v>
      </c>
      <c r="C4516" t="s">
        <v>3401</v>
      </c>
      <c r="D4516" t="str">
        <f>HYPERLINK("https://rhld.insurance.arkansas.gov/NPILookup?Npi=1780295048","1780295048")</f>
        <v>1780295048</v>
      </c>
      <c r="E4516" t="s">
        <v>4000</v>
      </c>
      <c r="F4516" t="s">
        <v>13</v>
      </c>
      <c r="G4516" s="20">
        <v>1</v>
      </c>
      <c r="H4516" t="s">
        <v>3403</v>
      </c>
      <c r="I4516" t="s">
        <v>32</v>
      </c>
      <c r="J4516" s="9">
        <v>54321</v>
      </c>
      <c r="K4516" s="9" t="s">
        <v>23</v>
      </c>
      <c r="L4516" s="9"/>
    </row>
    <row r="4517" spans="2:12" ht="15" x14ac:dyDescent="0.25">
      <c r="B4517" t="s">
        <v>3400</v>
      </c>
      <c r="C4517" t="s">
        <v>3401</v>
      </c>
      <c r="D4517" t="str">
        <f>HYPERLINK("https://rhld.insurance.arkansas.gov/NPILookup?Npi=1780302935","1780302935")</f>
        <v>1780302935</v>
      </c>
      <c r="E4517" t="s">
        <v>3118</v>
      </c>
      <c r="F4517" t="s">
        <v>13</v>
      </c>
      <c r="G4517" s="20">
        <v>1</v>
      </c>
      <c r="H4517" t="s">
        <v>3403</v>
      </c>
      <c r="I4517" t="s">
        <v>4357</v>
      </c>
      <c r="J4517" s="9">
        <v>54321</v>
      </c>
      <c r="K4517" s="9" t="s">
        <v>23</v>
      </c>
      <c r="L4517" s="9"/>
    </row>
    <row r="4518" spans="2:12" ht="15" x14ac:dyDescent="0.25">
      <c r="B4518" t="s">
        <v>3400</v>
      </c>
      <c r="C4518" t="s">
        <v>3401</v>
      </c>
      <c r="D4518" t="str">
        <f>HYPERLINK("https://rhld.insurance.arkansas.gov/NPILookup?Npi=1780486530","1780486530")</f>
        <v>1780486530</v>
      </c>
      <c r="E4518" t="s">
        <v>3120</v>
      </c>
      <c r="F4518" t="s">
        <v>13</v>
      </c>
      <c r="G4518" s="20">
        <v>1</v>
      </c>
      <c r="H4518" t="s">
        <v>4357</v>
      </c>
      <c r="I4518" t="s">
        <v>4357</v>
      </c>
      <c r="J4518" s="9">
        <v>54321</v>
      </c>
      <c r="K4518" s="9" t="s">
        <v>23</v>
      </c>
      <c r="L4518" s="9"/>
    </row>
    <row r="4519" spans="2:12" ht="15" x14ac:dyDescent="0.25">
      <c r="B4519" t="s">
        <v>3400</v>
      </c>
      <c r="C4519" t="s">
        <v>3401</v>
      </c>
      <c r="D4519" t="str">
        <f>HYPERLINK("https://rhld.insurance.arkansas.gov/NPILookup?Npi=1780604066","1780604066")</f>
        <v>1780604066</v>
      </c>
      <c r="E4519" t="s">
        <v>3121</v>
      </c>
      <c r="F4519" t="s">
        <v>13</v>
      </c>
      <c r="G4519" s="20">
        <v>1</v>
      </c>
      <c r="H4519" t="s">
        <v>3403</v>
      </c>
      <c r="I4519" t="s">
        <v>4357</v>
      </c>
      <c r="J4519" s="9">
        <v>54321</v>
      </c>
      <c r="K4519" s="9" t="s">
        <v>23</v>
      </c>
      <c r="L4519" s="9"/>
    </row>
    <row r="4520" spans="2:12" ht="15" x14ac:dyDescent="0.25">
      <c r="B4520" t="s">
        <v>3400</v>
      </c>
      <c r="C4520" t="s">
        <v>3401</v>
      </c>
      <c r="D4520" t="str">
        <f>HYPERLINK("https://rhld.insurance.arkansas.gov/NPILookup?Npi=1780651505","1780651505")</f>
        <v>1780651505</v>
      </c>
      <c r="E4520" t="s">
        <v>1360</v>
      </c>
      <c r="F4520" t="s">
        <v>13</v>
      </c>
      <c r="G4520" s="20">
        <v>1</v>
      </c>
      <c r="H4520" t="s">
        <v>3403</v>
      </c>
      <c r="I4520" t="s">
        <v>32</v>
      </c>
      <c r="J4520" s="9">
        <v>54321</v>
      </c>
      <c r="K4520" s="9" t="s">
        <v>4639</v>
      </c>
      <c r="L4520" s="9"/>
    </row>
    <row r="4521" spans="2:12" ht="15" x14ac:dyDescent="0.25">
      <c r="B4521" t="s">
        <v>3400</v>
      </c>
      <c r="C4521" t="s">
        <v>3401</v>
      </c>
      <c r="D4521" t="str">
        <f>HYPERLINK("https://rhld.insurance.arkansas.gov/NPILookup?Npi=1780670604","1780670604")</f>
        <v>1780670604</v>
      </c>
      <c r="E4521" t="s">
        <v>4001</v>
      </c>
      <c r="F4521" t="s">
        <v>13</v>
      </c>
      <c r="G4521" s="20">
        <v>1</v>
      </c>
      <c r="H4521" t="s">
        <v>3403</v>
      </c>
      <c r="I4521" t="s">
        <v>32</v>
      </c>
      <c r="J4521" s="9">
        <v>54321</v>
      </c>
      <c r="K4521" s="9" t="s">
        <v>23</v>
      </c>
      <c r="L4521" s="9"/>
    </row>
    <row r="4522" spans="2:12" ht="15" x14ac:dyDescent="0.25">
      <c r="B4522" t="s">
        <v>3400</v>
      </c>
      <c r="C4522" t="s">
        <v>3401</v>
      </c>
      <c r="D4522" t="str">
        <f>HYPERLINK("https://rhld.insurance.arkansas.gov/NPILookup?Npi=1780677666","1780677666")</f>
        <v>1780677666</v>
      </c>
      <c r="E4522" t="s">
        <v>4002</v>
      </c>
      <c r="F4522" t="s">
        <v>13</v>
      </c>
      <c r="G4522" s="20">
        <v>1</v>
      </c>
      <c r="H4522" t="s">
        <v>3403</v>
      </c>
      <c r="I4522" t="s">
        <v>32</v>
      </c>
      <c r="J4522" s="9">
        <v>54321</v>
      </c>
      <c r="K4522" s="9" t="s">
        <v>23</v>
      </c>
      <c r="L4522" s="9"/>
    </row>
    <row r="4523" spans="2:12" ht="15" x14ac:dyDescent="0.25">
      <c r="B4523" t="s">
        <v>3400</v>
      </c>
      <c r="C4523" t="s">
        <v>3401</v>
      </c>
      <c r="D4523" t="str">
        <f>HYPERLINK("https://rhld.insurance.arkansas.gov/NPILookup?Npi=1780680538","1780680538")</f>
        <v>1780680538</v>
      </c>
      <c r="E4523" t="s">
        <v>4003</v>
      </c>
      <c r="F4523" t="s">
        <v>13</v>
      </c>
      <c r="G4523" s="20">
        <v>1</v>
      </c>
      <c r="H4523" t="s">
        <v>3403</v>
      </c>
      <c r="I4523" t="s">
        <v>32</v>
      </c>
      <c r="J4523" s="9">
        <v>54321</v>
      </c>
      <c r="K4523" s="9" t="s">
        <v>23</v>
      </c>
      <c r="L4523" s="9"/>
    </row>
    <row r="4524" spans="2:12" ht="15" x14ac:dyDescent="0.25">
      <c r="B4524" t="s">
        <v>3400</v>
      </c>
      <c r="C4524" t="s">
        <v>3401</v>
      </c>
      <c r="D4524" t="str">
        <f>HYPERLINK("https://rhld.insurance.arkansas.gov/NPILookup?Npi=1780774281","1780774281")</f>
        <v>1780774281</v>
      </c>
      <c r="E4524" t="s">
        <v>4004</v>
      </c>
      <c r="F4524" t="s">
        <v>12</v>
      </c>
      <c r="G4524" s="20">
        <v>1</v>
      </c>
      <c r="H4524" t="s">
        <v>4338</v>
      </c>
      <c r="I4524" t="s">
        <v>32</v>
      </c>
      <c r="J4524" s="9">
        <v>54321</v>
      </c>
      <c r="K4524" s="9" t="s">
        <v>23</v>
      </c>
      <c r="L4524" s="9"/>
    </row>
    <row r="4525" spans="2:12" ht="15" x14ac:dyDescent="0.25">
      <c r="B4525" t="s">
        <v>3400</v>
      </c>
      <c r="C4525" t="s">
        <v>3401</v>
      </c>
      <c r="D4525" t="str">
        <f>HYPERLINK("https://rhld.insurance.arkansas.gov/NPILookup?Npi=1780815985","1780815985")</f>
        <v>1780815985</v>
      </c>
      <c r="E4525" t="s">
        <v>3127</v>
      </c>
      <c r="F4525" t="s">
        <v>13</v>
      </c>
      <c r="G4525" s="20">
        <v>1</v>
      </c>
      <c r="H4525" t="s">
        <v>3403</v>
      </c>
      <c r="I4525" t="s">
        <v>4357</v>
      </c>
      <c r="J4525" s="9">
        <v>54321</v>
      </c>
      <c r="K4525" s="9" t="s">
        <v>23</v>
      </c>
      <c r="L4525" s="9"/>
    </row>
    <row r="4526" spans="2:12" ht="15" x14ac:dyDescent="0.25">
      <c r="B4526" t="s">
        <v>3400</v>
      </c>
      <c r="C4526" t="s">
        <v>3401</v>
      </c>
      <c r="D4526" t="str">
        <f>HYPERLINK("https://rhld.insurance.arkansas.gov/NPILookup?Npi=1780833707","1780833707")</f>
        <v>1780833707</v>
      </c>
      <c r="E4526" t="s">
        <v>4005</v>
      </c>
      <c r="F4526" t="s">
        <v>13</v>
      </c>
      <c r="G4526" s="20">
        <v>1</v>
      </c>
      <c r="H4526" t="s">
        <v>3403</v>
      </c>
      <c r="I4526" t="s">
        <v>32</v>
      </c>
      <c r="J4526" s="9">
        <v>54321</v>
      </c>
      <c r="K4526" s="9" t="s">
        <v>23</v>
      </c>
      <c r="L4526" s="9"/>
    </row>
    <row r="4527" spans="2:12" ht="15" x14ac:dyDescent="0.25">
      <c r="B4527" t="s">
        <v>3400</v>
      </c>
      <c r="C4527" t="s">
        <v>3401</v>
      </c>
      <c r="D4527" t="str">
        <f>HYPERLINK("https://rhld.insurance.arkansas.gov/NPILookup?Npi=1780917443","1780917443")</f>
        <v>1780917443</v>
      </c>
      <c r="E4527" t="s">
        <v>3129</v>
      </c>
      <c r="F4527" t="s">
        <v>13</v>
      </c>
      <c r="G4527" s="20">
        <v>1</v>
      </c>
      <c r="H4527" t="s">
        <v>3403</v>
      </c>
      <c r="I4527" t="s">
        <v>4357</v>
      </c>
      <c r="J4527" s="9">
        <v>54321</v>
      </c>
      <c r="K4527" s="9" t="s">
        <v>4639</v>
      </c>
      <c r="L4527" s="9"/>
    </row>
    <row r="4528" spans="2:12" ht="15" x14ac:dyDescent="0.25">
      <c r="B4528" t="s">
        <v>3400</v>
      </c>
      <c r="C4528" t="s">
        <v>3401</v>
      </c>
      <c r="D4528" t="str">
        <f>HYPERLINK("https://rhld.insurance.arkansas.gov/NPILookup?Npi=1790058709","1790058709")</f>
        <v>1790058709</v>
      </c>
      <c r="E4528" t="s">
        <v>4006</v>
      </c>
      <c r="F4528" t="s">
        <v>13</v>
      </c>
      <c r="G4528" s="20">
        <v>1</v>
      </c>
      <c r="H4528" t="s">
        <v>3403</v>
      </c>
      <c r="I4528" t="s">
        <v>32</v>
      </c>
      <c r="J4528" s="9">
        <v>54321</v>
      </c>
      <c r="K4528" s="9" t="s">
        <v>23</v>
      </c>
      <c r="L4528" s="9"/>
    </row>
    <row r="4529" spans="2:12" ht="15" x14ac:dyDescent="0.25">
      <c r="B4529" t="s">
        <v>3400</v>
      </c>
      <c r="C4529" t="s">
        <v>3401</v>
      </c>
      <c r="D4529" t="str">
        <f>HYPERLINK("https://rhld.insurance.arkansas.gov/NPILookup?Npi=1790506780","1790506780")</f>
        <v>1790506780</v>
      </c>
      <c r="E4529" t="s">
        <v>2094</v>
      </c>
      <c r="F4529" t="s">
        <v>13</v>
      </c>
      <c r="G4529" s="20">
        <v>1</v>
      </c>
      <c r="H4529" t="s">
        <v>4357</v>
      </c>
      <c r="I4529" t="s">
        <v>4357</v>
      </c>
      <c r="J4529" s="9">
        <v>54321</v>
      </c>
      <c r="K4529" s="9" t="s">
        <v>23</v>
      </c>
      <c r="L4529" s="9"/>
    </row>
    <row r="4530" spans="2:12" ht="15" x14ac:dyDescent="0.25">
      <c r="B4530" t="s">
        <v>3400</v>
      </c>
      <c r="C4530" t="s">
        <v>3401</v>
      </c>
      <c r="D4530" t="str">
        <f>HYPERLINK("https://rhld.insurance.arkansas.gov/NPILookup?Npi=1790753929","1790753929")</f>
        <v>1790753929</v>
      </c>
      <c r="E4530" t="s">
        <v>4007</v>
      </c>
      <c r="F4530" t="s">
        <v>13</v>
      </c>
      <c r="G4530" s="20">
        <v>1</v>
      </c>
      <c r="H4530" t="s">
        <v>3403</v>
      </c>
      <c r="I4530" t="s">
        <v>32</v>
      </c>
      <c r="J4530" s="9">
        <v>54321</v>
      </c>
      <c r="K4530" s="9" t="s">
        <v>23</v>
      </c>
      <c r="L4530" s="9"/>
    </row>
    <row r="4531" spans="2:12" ht="15" x14ac:dyDescent="0.25">
      <c r="B4531" t="s">
        <v>3400</v>
      </c>
      <c r="C4531" t="s">
        <v>3401</v>
      </c>
      <c r="D4531" t="str">
        <f>HYPERLINK("https://rhld.insurance.arkansas.gov/NPILookup?Npi=1790980126","1790980126")</f>
        <v>1790980126</v>
      </c>
      <c r="E4531" t="s">
        <v>4008</v>
      </c>
      <c r="F4531" t="s">
        <v>12</v>
      </c>
      <c r="G4531" s="20">
        <v>1</v>
      </c>
      <c r="H4531" t="s">
        <v>4338</v>
      </c>
      <c r="I4531" t="s">
        <v>32</v>
      </c>
      <c r="J4531" s="9">
        <v>54321</v>
      </c>
      <c r="K4531" s="9" t="s">
        <v>23</v>
      </c>
      <c r="L4531" s="9"/>
    </row>
    <row r="4532" spans="2:12" ht="15" x14ac:dyDescent="0.25">
      <c r="B4532" t="s">
        <v>3400</v>
      </c>
      <c r="C4532" t="s">
        <v>3401</v>
      </c>
      <c r="D4532" t="str">
        <f>HYPERLINK("https://rhld.insurance.arkansas.gov/NPILookup?Npi=1801073531","1801073531")</f>
        <v>1801073531</v>
      </c>
      <c r="E4532" t="s">
        <v>3142</v>
      </c>
      <c r="F4532" t="s">
        <v>13</v>
      </c>
      <c r="G4532" s="20">
        <v>1</v>
      </c>
      <c r="H4532" t="s">
        <v>3403</v>
      </c>
      <c r="I4532" t="s">
        <v>32</v>
      </c>
      <c r="J4532" s="9">
        <v>54321</v>
      </c>
      <c r="K4532" s="9" t="s">
        <v>23</v>
      </c>
      <c r="L4532" s="9"/>
    </row>
    <row r="4533" spans="2:12" ht="15" x14ac:dyDescent="0.25">
      <c r="B4533" t="s">
        <v>3400</v>
      </c>
      <c r="C4533" t="s">
        <v>3401</v>
      </c>
      <c r="D4533" t="str">
        <f>HYPERLINK("https://rhld.insurance.arkansas.gov/NPILookup?Npi=1801277959","1801277959")</f>
        <v>1801277959</v>
      </c>
      <c r="E4533" t="s">
        <v>4009</v>
      </c>
      <c r="F4533" t="s">
        <v>13</v>
      </c>
      <c r="G4533" s="20">
        <v>1</v>
      </c>
      <c r="H4533" t="s">
        <v>3403</v>
      </c>
      <c r="I4533" t="s">
        <v>32</v>
      </c>
      <c r="J4533" s="9">
        <v>54321</v>
      </c>
      <c r="K4533" s="9" t="s">
        <v>23</v>
      </c>
      <c r="L4533" s="9"/>
    </row>
    <row r="4534" spans="2:12" ht="15" x14ac:dyDescent="0.25">
      <c r="B4534" t="s">
        <v>3400</v>
      </c>
      <c r="C4534" t="s">
        <v>3401</v>
      </c>
      <c r="D4534" t="str">
        <f>HYPERLINK("https://rhld.insurance.arkansas.gov/NPILookup?Npi=1801381579","1801381579")</f>
        <v>1801381579</v>
      </c>
      <c r="E4534" t="s">
        <v>3145</v>
      </c>
      <c r="F4534" t="s">
        <v>13</v>
      </c>
      <c r="G4534" s="20">
        <v>1</v>
      </c>
      <c r="H4534" t="s">
        <v>3403</v>
      </c>
      <c r="I4534" t="s">
        <v>4357</v>
      </c>
      <c r="J4534" s="9">
        <v>54321</v>
      </c>
      <c r="K4534" s="9" t="s">
        <v>23</v>
      </c>
      <c r="L4534" s="9"/>
    </row>
    <row r="4535" spans="2:12" ht="15" x14ac:dyDescent="0.25">
      <c r="B4535" t="s">
        <v>3400</v>
      </c>
      <c r="C4535" t="s">
        <v>3401</v>
      </c>
      <c r="D4535" t="str">
        <f>HYPERLINK("https://rhld.insurance.arkansas.gov/NPILookup?Npi=1801388160","1801388160")</f>
        <v>1801388160</v>
      </c>
      <c r="E4535" t="s">
        <v>4010</v>
      </c>
      <c r="F4535" t="s">
        <v>13</v>
      </c>
      <c r="G4535" s="20">
        <v>1</v>
      </c>
      <c r="H4535" t="s">
        <v>3403</v>
      </c>
      <c r="I4535" t="s">
        <v>4357</v>
      </c>
      <c r="J4535" s="9">
        <v>54321</v>
      </c>
      <c r="K4535" s="9" t="s">
        <v>23</v>
      </c>
      <c r="L4535" s="9"/>
    </row>
    <row r="4536" spans="2:12" ht="15" x14ac:dyDescent="0.25">
      <c r="B4536" t="s">
        <v>3400</v>
      </c>
      <c r="C4536" t="s">
        <v>3401</v>
      </c>
      <c r="D4536" t="str">
        <f>HYPERLINK("https://rhld.insurance.arkansas.gov/NPILookup?Npi=1801473905","1801473905")</f>
        <v>1801473905</v>
      </c>
      <c r="E4536" t="s">
        <v>3147</v>
      </c>
      <c r="F4536" t="s">
        <v>13</v>
      </c>
      <c r="G4536" s="20">
        <v>1</v>
      </c>
      <c r="H4536" t="s">
        <v>4357</v>
      </c>
      <c r="I4536" t="s">
        <v>4357</v>
      </c>
      <c r="J4536" s="9">
        <v>54321</v>
      </c>
      <c r="K4536" s="9" t="s">
        <v>23</v>
      </c>
      <c r="L4536" s="9"/>
    </row>
    <row r="4537" spans="2:12" ht="15" x14ac:dyDescent="0.25">
      <c r="B4537" t="s">
        <v>3400</v>
      </c>
      <c r="C4537" t="s">
        <v>3401</v>
      </c>
      <c r="D4537" t="str">
        <f>HYPERLINK("https://rhld.insurance.arkansas.gov/NPILookup?Npi=1801535836","1801535836")</f>
        <v>1801535836</v>
      </c>
      <c r="E4537" t="s">
        <v>4011</v>
      </c>
      <c r="F4537" t="s">
        <v>13</v>
      </c>
      <c r="G4537" s="20">
        <v>1</v>
      </c>
      <c r="H4537" t="s">
        <v>3403</v>
      </c>
      <c r="I4537" t="s">
        <v>4357</v>
      </c>
      <c r="J4537" s="9">
        <v>54321</v>
      </c>
      <c r="K4537" s="9" t="s">
        <v>23</v>
      </c>
      <c r="L4537" s="9"/>
    </row>
    <row r="4538" spans="2:12" ht="15" x14ac:dyDescent="0.25">
      <c r="B4538" t="s">
        <v>3400</v>
      </c>
      <c r="C4538" t="s">
        <v>3401</v>
      </c>
      <c r="D4538" t="str">
        <f>HYPERLINK("https://rhld.insurance.arkansas.gov/NPILookup?Npi=1801570403","1801570403")</f>
        <v>1801570403</v>
      </c>
      <c r="E4538" t="s">
        <v>4012</v>
      </c>
      <c r="F4538" t="s">
        <v>13</v>
      </c>
      <c r="G4538" s="20">
        <v>1</v>
      </c>
      <c r="H4538" t="s">
        <v>3403</v>
      </c>
      <c r="I4538" t="s">
        <v>32</v>
      </c>
      <c r="J4538" s="9">
        <v>54321</v>
      </c>
      <c r="K4538" s="9" t="s">
        <v>23</v>
      </c>
      <c r="L4538" s="9"/>
    </row>
    <row r="4539" spans="2:12" ht="15" x14ac:dyDescent="0.25">
      <c r="B4539" t="s">
        <v>3400</v>
      </c>
      <c r="C4539" t="s">
        <v>3401</v>
      </c>
      <c r="D4539" t="str">
        <f>HYPERLINK("https://rhld.insurance.arkansas.gov/NPILookup?Npi=1801573282","1801573282")</f>
        <v>1801573282</v>
      </c>
      <c r="E4539" t="s">
        <v>4013</v>
      </c>
      <c r="F4539" t="s">
        <v>13</v>
      </c>
      <c r="G4539" s="20">
        <v>1</v>
      </c>
      <c r="H4539" t="s">
        <v>3403</v>
      </c>
      <c r="I4539" t="s">
        <v>4357</v>
      </c>
      <c r="J4539" s="9">
        <v>54321</v>
      </c>
      <c r="K4539" s="9" t="s">
        <v>23</v>
      </c>
      <c r="L4539" s="9"/>
    </row>
    <row r="4540" spans="2:12" ht="15" x14ac:dyDescent="0.25">
      <c r="B4540" t="s">
        <v>3400</v>
      </c>
      <c r="C4540" t="s">
        <v>3401</v>
      </c>
      <c r="D4540" t="str">
        <f>HYPERLINK("https://rhld.insurance.arkansas.gov/NPILookup?Npi=1801615786","1801615786")</f>
        <v>1801615786</v>
      </c>
      <c r="E4540" t="s">
        <v>3148</v>
      </c>
      <c r="F4540" t="s">
        <v>13</v>
      </c>
      <c r="G4540" s="20">
        <v>1</v>
      </c>
      <c r="H4540" t="s">
        <v>4357</v>
      </c>
      <c r="I4540" t="s">
        <v>4357</v>
      </c>
      <c r="J4540" s="9">
        <v>54321</v>
      </c>
      <c r="K4540" s="9" t="s">
        <v>4639</v>
      </c>
      <c r="L4540" s="9"/>
    </row>
    <row r="4541" spans="2:12" ht="15" x14ac:dyDescent="0.25">
      <c r="B4541" t="s">
        <v>3400</v>
      </c>
      <c r="C4541" t="s">
        <v>3401</v>
      </c>
      <c r="D4541" t="str">
        <f>HYPERLINK("https://rhld.insurance.arkansas.gov/NPILookup?Npi=1801653688","1801653688")</f>
        <v>1801653688</v>
      </c>
      <c r="E4541" t="s">
        <v>4014</v>
      </c>
      <c r="F4541" t="s">
        <v>13</v>
      </c>
      <c r="G4541" s="20">
        <v>1</v>
      </c>
      <c r="H4541" t="s">
        <v>3403</v>
      </c>
      <c r="I4541" t="s">
        <v>4357</v>
      </c>
      <c r="J4541" s="9">
        <v>54321</v>
      </c>
      <c r="K4541" s="9" t="s">
        <v>4639</v>
      </c>
      <c r="L4541" s="9"/>
    </row>
    <row r="4542" spans="2:12" ht="15" x14ac:dyDescent="0.25">
      <c r="B4542" t="s">
        <v>3400</v>
      </c>
      <c r="C4542" t="s">
        <v>3401</v>
      </c>
      <c r="D4542" t="str">
        <f>HYPERLINK("https://rhld.insurance.arkansas.gov/NPILookup?Npi=1801858188","1801858188")</f>
        <v>1801858188</v>
      </c>
      <c r="E4542" t="s">
        <v>4015</v>
      </c>
      <c r="F4542" t="s">
        <v>13</v>
      </c>
      <c r="G4542" s="20">
        <v>1</v>
      </c>
      <c r="H4542" t="s">
        <v>3403</v>
      </c>
      <c r="I4542" t="s">
        <v>32</v>
      </c>
      <c r="J4542" s="9">
        <v>54321</v>
      </c>
      <c r="K4542" s="9" t="s">
        <v>23</v>
      </c>
      <c r="L4542" s="9"/>
    </row>
    <row r="4543" spans="2:12" ht="15" x14ac:dyDescent="0.25">
      <c r="B4543" t="s">
        <v>3400</v>
      </c>
      <c r="C4543" t="s">
        <v>3401</v>
      </c>
      <c r="D4543" t="str">
        <f>HYPERLINK("https://rhld.insurance.arkansas.gov/NPILookup?Npi=1801869185","1801869185")</f>
        <v>1801869185</v>
      </c>
      <c r="E4543" t="s">
        <v>4016</v>
      </c>
      <c r="F4543" t="s">
        <v>13</v>
      </c>
      <c r="G4543" s="20">
        <v>1</v>
      </c>
      <c r="H4543" t="s">
        <v>3403</v>
      </c>
      <c r="I4543" t="s">
        <v>32</v>
      </c>
      <c r="J4543" s="9">
        <v>54321</v>
      </c>
      <c r="K4543" s="9" t="s">
        <v>23</v>
      </c>
      <c r="L4543" s="9"/>
    </row>
    <row r="4544" spans="2:12" ht="15" x14ac:dyDescent="0.25">
      <c r="B4544" t="s">
        <v>3400</v>
      </c>
      <c r="C4544" t="s">
        <v>3401</v>
      </c>
      <c r="D4544" t="str">
        <f>HYPERLINK("https://rhld.insurance.arkansas.gov/NPILookup?Npi=1801898630","1801898630")</f>
        <v>1801898630</v>
      </c>
      <c r="E4544" t="s">
        <v>3151</v>
      </c>
      <c r="F4544" t="s">
        <v>12</v>
      </c>
      <c r="G4544" s="20">
        <v>1</v>
      </c>
      <c r="H4544" t="s">
        <v>4338</v>
      </c>
      <c r="I4544" t="s">
        <v>32</v>
      </c>
      <c r="J4544" s="9">
        <v>54321</v>
      </c>
      <c r="K4544" s="9" t="s">
        <v>23</v>
      </c>
      <c r="L4544" s="9"/>
    </row>
    <row r="4545" spans="2:12" ht="15" x14ac:dyDescent="0.25">
      <c r="B4545" t="s">
        <v>3400</v>
      </c>
      <c r="C4545" t="s">
        <v>3401</v>
      </c>
      <c r="D4545" t="str">
        <f>HYPERLINK("https://rhld.insurance.arkansas.gov/NPILookup?Npi=1801917877","1801917877")</f>
        <v>1801917877</v>
      </c>
      <c r="E4545" t="s">
        <v>4017</v>
      </c>
      <c r="F4545" t="s">
        <v>12</v>
      </c>
      <c r="G4545" s="20">
        <v>1</v>
      </c>
      <c r="H4545" t="s">
        <v>4338</v>
      </c>
      <c r="I4545" t="s">
        <v>4357</v>
      </c>
      <c r="J4545" s="9">
        <v>54321</v>
      </c>
      <c r="K4545" s="9" t="s">
        <v>23</v>
      </c>
      <c r="L4545" s="9"/>
    </row>
    <row r="4546" spans="2:12" ht="15" x14ac:dyDescent="0.25">
      <c r="B4546" t="s">
        <v>3400</v>
      </c>
      <c r="C4546" t="s">
        <v>3401</v>
      </c>
      <c r="D4546" t="str">
        <f>HYPERLINK("https://rhld.insurance.arkansas.gov/NPILookup?Npi=1811128028","1811128028")</f>
        <v>1811128028</v>
      </c>
      <c r="E4546" t="s">
        <v>3153</v>
      </c>
      <c r="F4546" t="s">
        <v>13</v>
      </c>
      <c r="G4546" s="20">
        <v>1</v>
      </c>
      <c r="H4546" t="s">
        <v>3403</v>
      </c>
      <c r="I4546" t="s">
        <v>4357</v>
      </c>
      <c r="J4546" s="9">
        <v>54321</v>
      </c>
      <c r="K4546" s="9" t="s">
        <v>23</v>
      </c>
      <c r="L4546" s="9"/>
    </row>
    <row r="4547" spans="2:12" ht="15" x14ac:dyDescent="0.25">
      <c r="B4547" t="s">
        <v>3400</v>
      </c>
      <c r="C4547" t="s">
        <v>3401</v>
      </c>
      <c r="D4547" t="str">
        <f>HYPERLINK("https://rhld.insurance.arkansas.gov/NPILookup?Npi=1811130867","1811130867")</f>
        <v>1811130867</v>
      </c>
      <c r="E4547" t="s">
        <v>4018</v>
      </c>
      <c r="F4547" t="s">
        <v>13</v>
      </c>
      <c r="G4547" s="20">
        <v>1</v>
      </c>
      <c r="H4547" t="s">
        <v>3403</v>
      </c>
      <c r="I4547" t="s">
        <v>32</v>
      </c>
      <c r="J4547" s="9">
        <v>54321</v>
      </c>
      <c r="K4547" s="9" t="s">
        <v>4641</v>
      </c>
      <c r="L4547" s="9"/>
    </row>
    <row r="4548" spans="2:12" ht="15" x14ac:dyDescent="0.25">
      <c r="B4548" t="s">
        <v>3400</v>
      </c>
      <c r="C4548" t="s">
        <v>3401</v>
      </c>
      <c r="D4548" t="str">
        <f>HYPERLINK("https://rhld.insurance.arkansas.gov/NPILookup?Npi=1811188568","1811188568")</f>
        <v>1811188568</v>
      </c>
      <c r="E4548" t="s">
        <v>4019</v>
      </c>
      <c r="F4548" t="s">
        <v>13</v>
      </c>
      <c r="G4548" s="20">
        <v>1</v>
      </c>
      <c r="H4548" t="s">
        <v>87</v>
      </c>
      <c r="I4548" t="s">
        <v>32</v>
      </c>
      <c r="J4548" s="9">
        <v>54321</v>
      </c>
      <c r="K4548" s="9" t="s">
        <v>23</v>
      </c>
      <c r="L4548" s="9"/>
    </row>
    <row r="4549" spans="2:12" ht="15" x14ac:dyDescent="0.25">
      <c r="B4549" t="s">
        <v>3400</v>
      </c>
      <c r="C4549" t="s">
        <v>3401</v>
      </c>
      <c r="D4549" t="str">
        <f>HYPERLINK("https://rhld.insurance.arkansas.gov/NPILookup?Npi=1811230691","1811230691")</f>
        <v>1811230691</v>
      </c>
      <c r="E4549" t="s">
        <v>4020</v>
      </c>
      <c r="F4549" t="s">
        <v>13</v>
      </c>
      <c r="G4549" s="20">
        <v>1</v>
      </c>
      <c r="H4549" t="s">
        <v>3403</v>
      </c>
      <c r="I4549" t="s">
        <v>32</v>
      </c>
      <c r="J4549" s="9">
        <v>54321</v>
      </c>
      <c r="K4549" s="9" t="s">
        <v>23</v>
      </c>
      <c r="L4549" s="9"/>
    </row>
    <row r="4550" spans="2:12" ht="15" x14ac:dyDescent="0.25">
      <c r="B4550" t="s">
        <v>3400</v>
      </c>
      <c r="C4550" t="s">
        <v>3401</v>
      </c>
      <c r="D4550" t="str">
        <f>HYPERLINK("https://rhld.insurance.arkansas.gov/NPILookup?Npi=1811246127","1811246127")</f>
        <v>1811246127</v>
      </c>
      <c r="E4550" t="s">
        <v>4021</v>
      </c>
      <c r="F4550" t="s">
        <v>13</v>
      </c>
      <c r="G4550" s="20">
        <v>1</v>
      </c>
      <c r="H4550" t="s">
        <v>3403</v>
      </c>
      <c r="I4550" t="s">
        <v>32</v>
      </c>
      <c r="J4550" s="9">
        <v>54321</v>
      </c>
      <c r="K4550" s="9" t="s">
        <v>23</v>
      </c>
      <c r="L4550" s="9"/>
    </row>
    <row r="4551" spans="2:12" ht="15" x14ac:dyDescent="0.25">
      <c r="B4551" t="s">
        <v>3400</v>
      </c>
      <c r="C4551" t="s">
        <v>3401</v>
      </c>
      <c r="D4551" t="str">
        <f>HYPERLINK("https://rhld.insurance.arkansas.gov/NPILookup?Npi=1811252752","1811252752")</f>
        <v>1811252752</v>
      </c>
      <c r="E4551" t="s">
        <v>4022</v>
      </c>
      <c r="F4551" t="s">
        <v>12</v>
      </c>
      <c r="G4551" s="20">
        <v>1</v>
      </c>
      <c r="H4551" t="s">
        <v>139</v>
      </c>
      <c r="I4551" t="s">
        <v>4357</v>
      </c>
      <c r="J4551" s="9">
        <v>54321</v>
      </c>
      <c r="K4551" s="9" t="s">
        <v>23</v>
      </c>
      <c r="L4551" s="9"/>
    </row>
    <row r="4552" spans="2:12" ht="15" x14ac:dyDescent="0.25">
      <c r="B4552" t="s">
        <v>3400</v>
      </c>
      <c r="C4552" t="s">
        <v>3401</v>
      </c>
      <c r="D4552" t="str">
        <f>HYPERLINK("https://rhld.insurance.arkansas.gov/NPILookup?Npi=1811565948","1811565948")</f>
        <v>1811565948</v>
      </c>
      <c r="E4552" t="s">
        <v>3160</v>
      </c>
      <c r="F4552" t="s">
        <v>13</v>
      </c>
      <c r="G4552" s="20">
        <v>1</v>
      </c>
      <c r="H4552" t="s">
        <v>4357</v>
      </c>
      <c r="I4552" t="s">
        <v>4357</v>
      </c>
      <c r="J4552" s="9">
        <v>54321</v>
      </c>
      <c r="K4552" s="9" t="s">
        <v>23</v>
      </c>
      <c r="L4552" s="9"/>
    </row>
    <row r="4553" spans="2:12" ht="15" x14ac:dyDescent="0.25">
      <c r="B4553" t="s">
        <v>3400</v>
      </c>
      <c r="C4553" t="s">
        <v>3401</v>
      </c>
      <c r="D4553" t="str">
        <f>HYPERLINK("https://rhld.insurance.arkansas.gov/NPILookup?Npi=1811575012","1811575012")</f>
        <v>1811575012</v>
      </c>
      <c r="E4553" t="s">
        <v>3161</v>
      </c>
      <c r="F4553" t="s">
        <v>13</v>
      </c>
      <c r="G4553" s="20">
        <v>1</v>
      </c>
      <c r="H4553" t="s">
        <v>4357</v>
      </c>
      <c r="I4553" t="s">
        <v>4357</v>
      </c>
      <c r="J4553" s="9">
        <v>54321</v>
      </c>
      <c r="K4553" s="9" t="s">
        <v>23</v>
      </c>
      <c r="L4553" s="9"/>
    </row>
    <row r="4554" spans="2:12" ht="15" x14ac:dyDescent="0.25">
      <c r="B4554" t="s">
        <v>3400</v>
      </c>
      <c r="C4554" t="s">
        <v>3401</v>
      </c>
      <c r="D4554" t="str">
        <f>HYPERLINK("https://rhld.insurance.arkansas.gov/NPILookup?Npi=1811620370","1811620370")</f>
        <v>1811620370</v>
      </c>
      <c r="E4554" t="s">
        <v>1121</v>
      </c>
      <c r="F4554" t="s">
        <v>13</v>
      </c>
      <c r="G4554" s="20">
        <v>1</v>
      </c>
      <c r="H4554" t="s">
        <v>3403</v>
      </c>
      <c r="I4554" t="s">
        <v>4357</v>
      </c>
      <c r="J4554" s="9">
        <v>54321</v>
      </c>
      <c r="K4554" s="9" t="s">
        <v>23</v>
      </c>
      <c r="L4554" s="9"/>
    </row>
    <row r="4555" spans="2:12" ht="15" x14ac:dyDescent="0.25">
      <c r="B4555" t="s">
        <v>3400</v>
      </c>
      <c r="C4555" t="s">
        <v>3401</v>
      </c>
      <c r="D4555" t="str">
        <f>HYPERLINK("https://rhld.insurance.arkansas.gov/NPILookup?Npi=1811620420","1811620420")</f>
        <v>1811620420</v>
      </c>
      <c r="E4555" t="s">
        <v>4023</v>
      </c>
      <c r="F4555" t="s">
        <v>13</v>
      </c>
      <c r="G4555" s="20">
        <v>1</v>
      </c>
      <c r="H4555" t="s">
        <v>3403</v>
      </c>
      <c r="I4555" t="s">
        <v>4357</v>
      </c>
      <c r="J4555" s="9">
        <v>54321</v>
      </c>
      <c r="K4555" s="9" t="s">
        <v>23</v>
      </c>
      <c r="L4555" s="9"/>
    </row>
    <row r="4556" spans="2:12" ht="15" x14ac:dyDescent="0.25">
      <c r="B4556" t="s">
        <v>3400</v>
      </c>
      <c r="C4556" t="s">
        <v>3401</v>
      </c>
      <c r="D4556" t="str">
        <f>HYPERLINK("https://rhld.insurance.arkansas.gov/NPILookup?Npi=1811635634","1811635634")</f>
        <v>1811635634</v>
      </c>
      <c r="E4556" t="s">
        <v>4024</v>
      </c>
      <c r="F4556" t="s">
        <v>13</v>
      </c>
      <c r="G4556" s="20">
        <v>1</v>
      </c>
      <c r="H4556" t="s">
        <v>3403</v>
      </c>
      <c r="I4556" t="s">
        <v>32</v>
      </c>
      <c r="J4556" s="9">
        <v>54321</v>
      </c>
      <c r="K4556" s="9" t="s">
        <v>23</v>
      </c>
      <c r="L4556" s="9"/>
    </row>
    <row r="4557" spans="2:12" ht="15" x14ac:dyDescent="0.25">
      <c r="B4557" t="s">
        <v>3400</v>
      </c>
      <c r="C4557" t="s">
        <v>3401</v>
      </c>
      <c r="D4557" t="str">
        <f>HYPERLINK("https://rhld.insurance.arkansas.gov/NPILookup?Npi=1811659394","1811659394")</f>
        <v>1811659394</v>
      </c>
      <c r="E4557" t="s">
        <v>4025</v>
      </c>
      <c r="F4557" t="s">
        <v>13</v>
      </c>
      <c r="G4557" s="20">
        <v>1</v>
      </c>
      <c r="H4557" t="s">
        <v>3403</v>
      </c>
      <c r="I4557" t="s">
        <v>4357</v>
      </c>
      <c r="J4557" s="9">
        <v>54321</v>
      </c>
      <c r="K4557" s="9" t="s">
        <v>23</v>
      </c>
      <c r="L4557" s="9"/>
    </row>
    <row r="4558" spans="2:12" ht="15" x14ac:dyDescent="0.25">
      <c r="B4558" t="s">
        <v>3400</v>
      </c>
      <c r="C4558" t="s">
        <v>3401</v>
      </c>
      <c r="D4558" t="str">
        <f>HYPERLINK("https://rhld.insurance.arkansas.gov/NPILookup?Npi=1811968092","1811968092")</f>
        <v>1811968092</v>
      </c>
      <c r="E4558" t="s">
        <v>4026</v>
      </c>
      <c r="F4558" t="s">
        <v>13</v>
      </c>
      <c r="G4558" s="20">
        <v>1</v>
      </c>
      <c r="H4558" t="s">
        <v>3403</v>
      </c>
      <c r="I4558" t="s">
        <v>32</v>
      </c>
      <c r="J4558" s="9">
        <v>54321</v>
      </c>
      <c r="K4558" s="9" t="s">
        <v>23</v>
      </c>
      <c r="L4558" s="9"/>
    </row>
    <row r="4559" spans="2:12" ht="15" x14ac:dyDescent="0.25">
      <c r="B4559" t="s">
        <v>3400</v>
      </c>
      <c r="C4559" t="s">
        <v>3401</v>
      </c>
      <c r="D4559" t="str">
        <f>HYPERLINK("https://rhld.insurance.arkansas.gov/NPILookup?Npi=1821016361","1821016361")</f>
        <v>1821016361</v>
      </c>
      <c r="E4559" t="s">
        <v>849</v>
      </c>
      <c r="F4559" t="s">
        <v>13</v>
      </c>
      <c r="G4559" s="20">
        <v>1</v>
      </c>
      <c r="H4559" t="s">
        <v>4357</v>
      </c>
      <c r="I4559" t="s">
        <v>4357</v>
      </c>
      <c r="J4559" s="9">
        <v>54321</v>
      </c>
      <c r="K4559" s="9" t="s">
        <v>23</v>
      </c>
      <c r="L4559" s="9"/>
    </row>
    <row r="4560" spans="2:12" ht="15" x14ac:dyDescent="0.25">
      <c r="B4560" t="s">
        <v>3400</v>
      </c>
      <c r="C4560" t="s">
        <v>3401</v>
      </c>
      <c r="D4560" t="str">
        <f>HYPERLINK("https://rhld.insurance.arkansas.gov/NPILookup?Npi=1821082835","1821082835")</f>
        <v>1821082835</v>
      </c>
      <c r="E4560" t="s">
        <v>4027</v>
      </c>
      <c r="F4560" t="s">
        <v>13</v>
      </c>
      <c r="G4560" s="20">
        <v>1</v>
      </c>
      <c r="H4560" t="s">
        <v>3403</v>
      </c>
      <c r="I4560" t="s">
        <v>4357</v>
      </c>
      <c r="J4560" s="9">
        <v>54321</v>
      </c>
      <c r="K4560" s="9" t="s">
        <v>23</v>
      </c>
      <c r="L4560" s="9"/>
    </row>
    <row r="4561" spans="2:12" ht="15" x14ac:dyDescent="0.25">
      <c r="B4561" t="s">
        <v>3400</v>
      </c>
      <c r="C4561" t="s">
        <v>3401</v>
      </c>
      <c r="D4561" t="str">
        <f>HYPERLINK("https://rhld.insurance.arkansas.gov/NPILookup?Npi=1821196445","1821196445")</f>
        <v>1821196445</v>
      </c>
      <c r="E4561" t="s">
        <v>4028</v>
      </c>
      <c r="F4561" t="s">
        <v>13</v>
      </c>
      <c r="G4561" s="20">
        <v>1</v>
      </c>
      <c r="H4561" t="s">
        <v>3403</v>
      </c>
      <c r="I4561" t="s">
        <v>32</v>
      </c>
      <c r="J4561" s="9">
        <v>54321</v>
      </c>
      <c r="K4561" s="9" t="s">
        <v>23</v>
      </c>
      <c r="L4561" s="9"/>
    </row>
    <row r="4562" spans="2:12" ht="15" x14ac:dyDescent="0.25">
      <c r="B4562" t="s">
        <v>3400</v>
      </c>
      <c r="C4562" t="s">
        <v>3401</v>
      </c>
      <c r="D4562" t="str">
        <f>HYPERLINK("https://rhld.insurance.arkansas.gov/NPILookup?Npi=1821363508","1821363508")</f>
        <v>1821363508</v>
      </c>
      <c r="E4562" t="s">
        <v>3170</v>
      </c>
      <c r="F4562" t="s">
        <v>13</v>
      </c>
      <c r="G4562" s="20">
        <v>1</v>
      </c>
      <c r="H4562" t="s">
        <v>4357</v>
      </c>
      <c r="I4562" t="s">
        <v>4357</v>
      </c>
      <c r="J4562" s="9">
        <v>54321</v>
      </c>
      <c r="K4562" s="9" t="s">
        <v>23</v>
      </c>
      <c r="L4562" s="9"/>
    </row>
    <row r="4563" spans="2:12" ht="15" x14ac:dyDescent="0.25">
      <c r="B4563" t="s">
        <v>3400</v>
      </c>
      <c r="C4563" t="s">
        <v>3401</v>
      </c>
      <c r="D4563" t="str">
        <f>HYPERLINK("https://rhld.insurance.arkansas.gov/NPILookup?Npi=1821437302","1821437302")</f>
        <v>1821437302</v>
      </c>
      <c r="E4563" t="s">
        <v>4029</v>
      </c>
      <c r="F4563" t="s">
        <v>13</v>
      </c>
      <c r="G4563" s="20">
        <v>1</v>
      </c>
      <c r="H4563" t="s">
        <v>3403</v>
      </c>
      <c r="I4563" t="s">
        <v>32</v>
      </c>
      <c r="J4563" s="9">
        <v>54321</v>
      </c>
      <c r="K4563" s="9" t="s">
        <v>23</v>
      </c>
      <c r="L4563" s="9"/>
    </row>
    <row r="4564" spans="2:12" ht="15" x14ac:dyDescent="0.25">
      <c r="B4564" t="s">
        <v>3400</v>
      </c>
      <c r="C4564" t="s">
        <v>3401</v>
      </c>
      <c r="D4564" t="str">
        <f>HYPERLINK("https://rhld.insurance.arkansas.gov/NPILookup?Npi=1821525916","1821525916")</f>
        <v>1821525916</v>
      </c>
      <c r="E4564" t="s">
        <v>3172</v>
      </c>
      <c r="F4564" t="s">
        <v>13</v>
      </c>
      <c r="G4564" s="20">
        <v>1</v>
      </c>
      <c r="H4564" t="s">
        <v>3403</v>
      </c>
      <c r="I4564" t="s">
        <v>32</v>
      </c>
      <c r="J4564" s="9">
        <v>54321</v>
      </c>
      <c r="K4564" s="9" t="s">
        <v>23</v>
      </c>
      <c r="L4564" s="9"/>
    </row>
    <row r="4565" spans="2:12" ht="15" x14ac:dyDescent="0.25">
      <c r="B4565" t="s">
        <v>3400</v>
      </c>
      <c r="C4565" t="s">
        <v>3401</v>
      </c>
      <c r="D4565" t="str">
        <f>HYPERLINK("https://rhld.insurance.arkansas.gov/NPILookup?Npi=1821538125","1821538125")</f>
        <v>1821538125</v>
      </c>
      <c r="E4565" t="s">
        <v>4030</v>
      </c>
      <c r="F4565" t="s">
        <v>13</v>
      </c>
      <c r="G4565" s="20">
        <v>1</v>
      </c>
      <c r="H4565" t="s">
        <v>3403</v>
      </c>
      <c r="I4565" t="s">
        <v>32</v>
      </c>
      <c r="J4565" s="9">
        <v>54321</v>
      </c>
      <c r="K4565" s="9" t="s">
        <v>23</v>
      </c>
      <c r="L4565" s="9"/>
    </row>
    <row r="4566" spans="2:12" ht="15" x14ac:dyDescent="0.25">
      <c r="B4566" t="s">
        <v>3400</v>
      </c>
      <c r="C4566" t="s">
        <v>3401</v>
      </c>
      <c r="D4566" t="str">
        <f>HYPERLINK("https://rhld.insurance.arkansas.gov/NPILookup?Npi=1821589250","1821589250")</f>
        <v>1821589250</v>
      </c>
      <c r="E4566" t="s">
        <v>4031</v>
      </c>
      <c r="F4566" t="s">
        <v>13</v>
      </c>
      <c r="G4566" s="20">
        <v>1</v>
      </c>
      <c r="H4566" t="s">
        <v>3403</v>
      </c>
      <c r="I4566" t="s">
        <v>32</v>
      </c>
      <c r="J4566" s="9">
        <v>54321</v>
      </c>
      <c r="K4566" s="9" t="s">
        <v>23</v>
      </c>
      <c r="L4566" s="9"/>
    </row>
    <row r="4567" spans="2:12" ht="15" x14ac:dyDescent="0.25">
      <c r="B4567" t="s">
        <v>3400</v>
      </c>
      <c r="C4567" t="s">
        <v>3401</v>
      </c>
      <c r="D4567" t="str">
        <f>HYPERLINK("https://rhld.insurance.arkansas.gov/NPILookup?Npi=1821660044","1821660044")</f>
        <v>1821660044</v>
      </c>
      <c r="E4567" t="s">
        <v>3176</v>
      </c>
      <c r="F4567" t="s">
        <v>13</v>
      </c>
      <c r="G4567" s="20">
        <v>1</v>
      </c>
      <c r="H4567" t="s">
        <v>4357</v>
      </c>
      <c r="I4567" t="s">
        <v>4357</v>
      </c>
      <c r="J4567" s="9">
        <v>54321</v>
      </c>
      <c r="K4567" s="9" t="s">
        <v>23</v>
      </c>
      <c r="L4567" s="9"/>
    </row>
    <row r="4568" spans="2:12" ht="15" x14ac:dyDescent="0.25">
      <c r="B4568" t="s">
        <v>3400</v>
      </c>
      <c r="C4568" t="s">
        <v>3401</v>
      </c>
      <c r="D4568" t="str">
        <f>HYPERLINK("https://rhld.insurance.arkansas.gov/NPILookup?Npi=1821721523","1821721523")</f>
        <v>1821721523</v>
      </c>
      <c r="E4568" t="s">
        <v>4032</v>
      </c>
      <c r="F4568" t="s">
        <v>13</v>
      </c>
      <c r="G4568" s="20">
        <v>1</v>
      </c>
      <c r="H4568" t="s">
        <v>3403</v>
      </c>
      <c r="I4568" t="s">
        <v>4357</v>
      </c>
      <c r="J4568" s="9">
        <v>54321</v>
      </c>
      <c r="K4568" s="9" t="s">
        <v>23</v>
      </c>
      <c r="L4568" s="9"/>
    </row>
    <row r="4569" spans="2:12" ht="15" x14ac:dyDescent="0.25">
      <c r="B4569" t="s">
        <v>3400</v>
      </c>
      <c r="C4569" t="s">
        <v>3401</v>
      </c>
      <c r="D4569" t="str">
        <f>HYPERLINK("https://rhld.insurance.arkansas.gov/NPILookup?Npi=1821875568","1821875568")</f>
        <v>1821875568</v>
      </c>
      <c r="E4569" t="s">
        <v>4033</v>
      </c>
      <c r="F4569" t="s">
        <v>13</v>
      </c>
      <c r="G4569" s="20">
        <v>1</v>
      </c>
      <c r="H4569" t="s">
        <v>3403</v>
      </c>
      <c r="I4569" t="s">
        <v>4357</v>
      </c>
      <c r="J4569" s="9">
        <v>54321</v>
      </c>
      <c r="K4569" s="9" t="s">
        <v>4639</v>
      </c>
      <c r="L4569" s="9"/>
    </row>
    <row r="4570" spans="2:12" ht="15" x14ac:dyDescent="0.25">
      <c r="B4570" t="s">
        <v>3400</v>
      </c>
      <c r="C4570" t="s">
        <v>3401</v>
      </c>
      <c r="D4570" t="str">
        <f>HYPERLINK("https://rhld.insurance.arkansas.gov/NPILookup?Npi=1821879644","1821879644")</f>
        <v>1821879644</v>
      </c>
      <c r="E4570" t="s">
        <v>2095</v>
      </c>
      <c r="F4570" t="s">
        <v>13</v>
      </c>
      <c r="G4570" s="20">
        <v>1</v>
      </c>
      <c r="H4570" t="s">
        <v>4357</v>
      </c>
      <c r="I4570" t="s">
        <v>4357</v>
      </c>
      <c r="J4570" s="9">
        <v>54321</v>
      </c>
      <c r="K4570" s="9" t="s">
        <v>23</v>
      </c>
      <c r="L4570" s="9"/>
    </row>
    <row r="4571" spans="2:12" ht="15" x14ac:dyDescent="0.25">
      <c r="B4571" t="s">
        <v>3400</v>
      </c>
      <c r="C4571" t="s">
        <v>3401</v>
      </c>
      <c r="D4571" t="str">
        <f>HYPERLINK("https://rhld.insurance.arkansas.gov/NPILookup?Npi=1821895566","1821895566")</f>
        <v>1821895566</v>
      </c>
      <c r="E4571" t="s">
        <v>3181</v>
      </c>
      <c r="F4571" t="s">
        <v>13</v>
      </c>
      <c r="G4571" s="20">
        <v>1</v>
      </c>
      <c r="H4571" t="s">
        <v>4357</v>
      </c>
      <c r="I4571" t="s">
        <v>4357</v>
      </c>
      <c r="J4571" s="9">
        <v>54321</v>
      </c>
      <c r="K4571" s="9" t="s">
        <v>23</v>
      </c>
      <c r="L4571" s="9"/>
    </row>
    <row r="4572" spans="2:12" ht="15" x14ac:dyDescent="0.25">
      <c r="B4572" t="s">
        <v>3400</v>
      </c>
      <c r="C4572" t="s">
        <v>3401</v>
      </c>
      <c r="D4572" t="str">
        <f>HYPERLINK("https://rhld.insurance.arkansas.gov/NPILookup?Npi=1831137579","1831137579")</f>
        <v>1831137579</v>
      </c>
      <c r="E4572" t="s">
        <v>3182</v>
      </c>
      <c r="F4572" t="s">
        <v>13</v>
      </c>
      <c r="G4572" s="20">
        <v>1</v>
      </c>
      <c r="H4572" t="s">
        <v>4357</v>
      </c>
      <c r="I4572" t="s">
        <v>4357</v>
      </c>
      <c r="J4572" s="9">
        <v>54321</v>
      </c>
      <c r="K4572" s="9" t="s">
        <v>23</v>
      </c>
      <c r="L4572" s="9"/>
    </row>
    <row r="4573" spans="2:12" ht="15" x14ac:dyDescent="0.25">
      <c r="B4573" t="s">
        <v>3400</v>
      </c>
      <c r="C4573" t="s">
        <v>3401</v>
      </c>
      <c r="D4573" t="str">
        <f>HYPERLINK("https://rhld.insurance.arkansas.gov/NPILookup?Npi=1831422542","1831422542")</f>
        <v>1831422542</v>
      </c>
      <c r="E4573" t="s">
        <v>4034</v>
      </c>
      <c r="F4573" t="s">
        <v>12</v>
      </c>
      <c r="G4573" s="20">
        <v>1</v>
      </c>
      <c r="H4573" t="s">
        <v>4338</v>
      </c>
      <c r="I4573" t="s">
        <v>32</v>
      </c>
      <c r="J4573" s="9">
        <v>54321</v>
      </c>
      <c r="K4573" s="9" t="s">
        <v>23</v>
      </c>
      <c r="L4573" s="9"/>
    </row>
    <row r="4574" spans="2:12" ht="15" x14ac:dyDescent="0.25">
      <c r="B4574" t="s">
        <v>3400</v>
      </c>
      <c r="C4574" t="s">
        <v>3401</v>
      </c>
      <c r="D4574" t="str">
        <f>HYPERLINK("https://rhld.insurance.arkansas.gov/NPILookup?Npi=1831439595","1831439595")</f>
        <v>1831439595</v>
      </c>
      <c r="E4574" t="s">
        <v>3185</v>
      </c>
      <c r="F4574" t="s">
        <v>13</v>
      </c>
      <c r="G4574" s="20">
        <v>1</v>
      </c>
      <c r="H4574" t="s">
        <v>3403</v>
      </c>
      <c r="I4574" t="s">
        <v>4357</v>
      </c>
      <c r="J4574" s="9">
        <v>54321</v>
      </c>
      <c r="K4574" s="9" t="s">
        <v>23</v>
      </c>
      <c r="L4574" s="9"/>
    </row>
    <row r="4575" spans="2:12" ht="15" x14ac:dyDescent="0.25">
      <c r="B4575" t="s">
        <v>3400</v>
      </c>
      <c r="C4575" t="s">
        <v>3401</v>
      </c>
      <c r="D4575" t="str">
        <f>HYPERLINK("https://rhld.insurance.arkansas.gov/NPILookup?Npi=1831662246","1831662246")</f>
        <v>1831662246</v>
      </c>
      <c r="E4575" t="s">
        <v>4035</v>
      </c>
      <c r="F4575" t="s">
        <v>13</v>
      </c>
      <c r="G4575" s="20">
        <v>1</v>
      </c>
      <c r="H4575" t="s">
        <v>3403</v>
      </c>
      <c r="I4575" t="s">
        <v>32</v>
      </c>
      <c r="J4575" s="9">
        <v>54321</v>
      </c>
      <c r="K4575" s="9" t="s">
        <v>23</v>
      </c>
      <c r="L4575" s="9"/>
    </row>
    <row r="4576" spans="2:12" ht="15" x14ac:dyDescent="0.25">
      <c r="B4576" t="s">
        <v>3400</v>
      </c>
      <c r="C4576" t="s">
        <v>3401</v>
      </c>
      <c r="D4576" t="str">
        <f>HYPERLINK("https://rhld.insurance.arkansas.gov/NPILookup?Npi=1831727148","1831727148")</f>
        <v>1831727148</v>
      </c>
      <c r="E4576" t="s">
        <v>4036</v>
      </c>
      <c r="F4576" t="s">
        <v>13</v>
      </c>
      <c r="G4576" s="20">
        <v>1</v>
      </c>
      <c r="H4576" t="s">
        <v>3403</v>
      </c>
      <c r="I4576" t="s">
        <v>4357</v>
      </c>
      <c r="J4576" s="9">
        <v>54321</v>
      </c>
      <c r="K4576" s="9" t="s">
        <v>23</v>
      </c>
      <c r="L4576" s="9"/>
    </row>
    <row r="4577" spans="2:12" ht="15" x14ac:dyDescent="0.25">
      <c r="B4577" t="s">
        <v>3400</v>
      </c>
      <c r="C4577" t="s">
        <v>3401</v>
      </c>
      <c r="D4577" t="str">
        <f>HYPERLINK("https://rhld.insurance.arkansas.gov/NPILookup?Npi=1831777374","1831777374")</f>
        <v>1831777374</v>
      </c>
      <c r="E4577" t="s">
        <v>4037</v>
      </c>
      <c r="F4577" t="s">
        <v>13</v>
      </c>
      <c r="G4577" s="20">
        <v>1</v>
      </c>
      <c r="H4577" t="s">
        <v>4357</v>
      </c>
      <c r="I4577" t="s">
        <v>4357</v>
      </c>
      <c r="J4577" s="9">
        <v>54321</v>
      </c>
      <c r="K4577" s="9" t="s">
        <v>23</v>
      </c>
      <c r="L4577" s="9"/>
    </row>
    <row r="4578" spans="2:12" ht="15" x14ac:dyDescent="0.25">
      <c r="B4578" t="s">
        <v>3400</v>
      </c>
      <c r="C4578" t="s">
        <v>3401</v>
      </c>
      <c r="D4578" t="str">
        <f>HYPERLINK("https://rhld.insurance.arkansas.gov/NPILookup?Npi=1831780097","1831780097")</f>
        <v>1831780097</v>
      </c>
      <c r="E4578" t="s">
        <v>4038</v>
      </c>
      <c r="F4578" t="s">
        <v>13</v>
      </c>
      <c r="G4578" s="20">
        <v>1</v>
      </c>
      <c r="H4578" t="s">
        <v>3403</v>
      </c>
      <c r="I4578" t="s">
        <v>32</v>
      </c>
      <c r="J4578" s="9">
        <v>54321</v>
      </c>
      <c r="K4578" s="9" t="s">
        <v>23</v>
      </c>
      <c r="L4578" s="9"/>
    </row>
    <row r="4579" spans="2:12" ht="15" x14ac:dyDescent="0.25">
      <c r="B4579" t="s">
        <v>3400</v>
      </c>
      <c r="C4579" t="s">
        <v>3401</v>
      </c>
      <c r="D4579" t="str">
        <f>HYPERLINK("https://rhld.insurance.arkansas.gov/NPILookup?Npi=1831929678","1831929678")</f>
        <v>1831929678</v>
      </c>
      <c r="E4579" t="s">
        <v>3195</v>
      </c>
      <c r="F4579" t="s">
        <v>13</v>
      </c>
      <c r="G4579" s="20">
        <v>2</v>
      </c>
      <c r="H4579" t="s">
        <v>439</v>
      </c>
      <c r="I4579" t="s">
        <v>4357</v>
      </c>
      <c r="J4579" s="9">
        <v>54321</v>
      </c>
      <c r="K4579" s="9" t="s">
        <v>23</v>
      </c>
      <c r="L4579" s="9"/>
    </row>
    <row r="4580" spans="2:12" ht="15" x14ac:dyDescent="0.25">
      <c r="B4580" t="s">
        <v>3400</v>
      </c>
      <c r="C4580" t="s">
        <v>3401</v>
      </c>
      <c r="D4580" t="str">
        <f>HYPERLINK("https://rhld.insurance.arkansas.gov/NPILookup?Npi=1841027935","1841027935")</f>
        <v>1841027935</v>
      </c>
      <c r="E4580" t="s">
        <v>3196</v>
      </c>
      <c r="F4580" t="s">
        <v>13</v>
      </c>
      <c r="G4580" s="20">
        <v>1</v>
      </c>
      <c r="H4580" t="s">
        <v>4357</v>
      </c>
      <c r="I4580" t="s">
        <v>4357</v>
      </c>
      <c r="J4580" s="9">
        <v>54321</v>
      </c>
      <c r="K4580" s="9" t="s">
        <v>4639</v>
      </c>
      <c r="L4580" s="9"/>
    </row>
    <row r="4581" spans="2:12" ht="15" x14ac:dyDescent="0.25">
      <c r="B4581" t="s">
        <v>3400</v>
      </c>
      <c r="C4581" t="s">
        <v>3401</v>
      </c>
      <c r="D4581" t="str">
        <f>HYPERLINK("https://rhld.insurance.arkansas.gov/NPILookup?Npi=1841046091","1841046091")</f>
        <v>1841046091</v>
      </c>
      <c r="E4581" t="s">
        <v>3197</v>
      </c>
      <c r="F4581" t="s">
        <v>13</v>
      </c>
      <c r="G4581" s="20">
        <v>1</v>
      </c>
      <c r="H4581" t="s">
        <v>4357</v>
      </c>
      <c r="I4581" t="s">
        <v>4357</v>
      </c>
      <c r="J4581" s="9">
        <v>54321</v>
      </c>
      <c r="K4581" s="9" t="s">
        <v>23</v>
      </c>
      <c r="L4581" s="9"/>
    </row>
    <row r="4582" spans="2:12" ht="15" x14ac:dyDescent="0.25">
      <c r="B4582" t="s">
        <v>3400</v>
      </c>
      <c r="C4582" t="s">
        <v>3401</v>
      </c>
      <c r="D4582" t="str">
        <f>HYPERLINK("https://rhld.insurance.arkansas.gov/NPILookup?Npi=1841236437","1841236437")</f>
        <v>1841236437</v>
      </c>
      <c r="E4582" t="s">
        <v>3198</v>
      </c>
      <c r="F4582" t="s">
        <v>13</v>
      </c>
      <c r="G4582" s="20">
        <v>1</v>
      </c>
      <c r="H4582" t="s">
        <v>3403</v>
      </c>
      <c r="I4582" t="s">
        <v>4357</v>
      </c>
      <c r="J4582" s="9">
        <v>54321</v>
      </c>
      <c r="K4582" s="9" t="s">
        <v>23</v>
      </c>
      <c r="L4582" s="9"/>
    </row>
    <row r="4583" spans="2:12" ht="15" x14ac:dyDescent="0.25">
      <c r="B4583" t="s">
        <v>3400</v>
      </c>
      <c r="C4583" t="s">
        <v>3401</v>
      </c>
      <c r="D4583" t="str">
        <f>HYPERLINK("https://rhld.insurance.arkansas.gov/NPILookup?Npi=1841260122","1841260122")</f>
        <v>1841260122</v>
      </c>
      <c r="E4583" t="s">
        <v>4039</v>
      </c>
      <c r="F4583" t="s">
        <v>13</v>
      </c>
      <c r="G4583" s="20">
        <v>1</v>
      </c>
      <c r="H4583" t="s">
        <v>3403</v>
      </c>
      <c r="I4583" t="s">
        <v>32</v>
      </c>
      <c r="J4583" s="9">
        <v>54321</v>
      </c>
      <c r="K4583" s="9" t="s">
        <v>4639</v>
      </c>
      <c r="L4583" s="9"/>
    </row>
    <row r="4584" spans="2:12" ht="15" x14ac:dyDescent="0.25">
      <c r="B4584" t="s">
        <v>3400</v>
      </c>
      <c r="C4584" t="s">
        <v>3401</v>
      </c>
      <c r="D4584" t="str">
        <f>HYPERLINK("https://rhld.insurance.arkansas.gov/NPILookup?Npi=1841278611","1841278611")</f>
        <v>1841278611</v>
      </c>
      <c r="E4584" t="s">
        <v>4040</v>
      </c>
      <c r="F4584" t="s">
        <v>12</v>
      </c>
      <c r="G4584" s="20">
        <v>1</v>
      </c>
      <c r="H4584" t="s">
        <v>4338</v>
      </c>
      <c r="I4584" t="s">
        <v>32</v>
      </c>
      <c r="J4584" s="9">
        <v>54321</v>
      </c>
      <c r="K4584" s="9" t="s">
        <v>23</v>
      </c>
      <c r="L4584" s="9"/>
    </row>
    <row r="4585" spans="2:12" ht="15" x14ac:dyDescent="0.25">
      <c r="B4585" t="s">
        <v>3400</v>
      </c>
      <c r="C4585" t="s">
        <v>3401</v>
      </c>
      <c r="D4585" t="str">
        <f>HYPERLINK("https://rhld.insurance.arkansas.gov/NPILookup?Npi=1841285764","1841285764")</f>
        <v>1841285764</v>
      </c>
      <c r="E4585" t="s">
        <v>3202</v>
      </c>
      <c r="F4585" t="s">
        <v>13</v>
      </c>
      <c r="G4585" s="20">
        <v>1</v>
      </c>
      <c r="H4585" t="s">
        <v>3403</v>
      </c>
      <c r="I4585" t="s">
        <v>4357</v>
      </c>
      <c r="J4585" s="9">
        <v>54321</v>
      </c>
      <c r="K4585" s="9" t="s">
        <v>22</v>
      </c>
      <c r="L4585" s="9" t="s">
        <v>4640</v>
      </c>
    </row>
    <row r="4586" spans="2:12" ht="15" x14ac:dyDescent="0.25">
      <c r="B4586" t="s">
        <v>3400</v>
      </c>
      <c r="C4586" t="s">
        <v>3401</v>
      </c>
      <c r="D4586" t="str">
        <f>HYPERLINK("https://rhld.insurance.arkansas.gov/NPILookup?Npi=1841297181","1841297181")</f>
        <v>1841297181</v>
      </c>
      <c r="E4586" t="s">
        <v>555</v>
      </c>
      <c r="F4586" t="s">
        <v>13</v>
      </c>
      <c r="G4586" s="20">
        <v>1</v>
      </c>
      <c r="H4586" t="s">
        <v>3403</v>
      </c>
      <c r="I4586" t="s">
        <v>4357</v>
      </c>
      <c r="J4586" s="9">
        <v>54321</v>
      </c>
      <c r="K4586" s="9" t="s">
        <v>23</v>
      </c>
      <c r="L4586" s="9"/>
    </row>
    <row r="4587" spans="2:12" ht="15" x14ac:dyDescent="0.25">
      <c r="B4587" t="s">
        <v>3400</v>
      </c>
      <c r="C4587" t="s">
        <v>3401</v>
      </c>
      <c r="D4587" t="str">
        <f>HYPERLINK("https://rhld.insurance.arkansas.gov/NPILookup?Npi=1841381050","1841381050")</f>
        <v>1841381050</v>
      </c>
      <c r="E4587" t="s">
        <v>4041</v>
      </c>
      <c r="F4587" t="s">
        <v>12</v>
      </c>
      <c r="G4587" s="20">
        <v>1</v>
      </c>
      <c r="H4587" t="s">
        <v>4338</v>
      </c>
      <c r="I4587" t="s">
        <v>32</v>
      </c>
      <c r="J4587" s="9">
        <v>54321</v>
      </c>
      <c r="K4587" s="9" t="s">
        <v>4641</v>
      </c>
      <c r="L4587" s="9"/>
    </row>
    <row r="4588" spans="2:12" ht="15" x14ac:dyDescent="0.25">
      <c r="B4588" t="s">
        <v>3400</v>
      </c>
      <c r="C4588" t="s">
        <v>3401</v>
      </c>
      <c r="D4588" t="str">
        <f>HYPERLINK("https://rhld.insurance.arkansas.gov/NPILookup?Npi=1841391315","1841391315")</f>
        <v>1841391315</v>
      </c>
      <c r="E4588" t="s">
        <v>3204</v>
      </c>
      <c r="F4588" t="s">
        <v>13</v>
      </c>
      <c r="G4588" s="20">
        <v>1</v>
      </c>
      <c r="H4588" t="s">
        <v>4357</v>
      </c>
      <c r="I4588" t="s">
        <v>4357</v>
      </c>
      <c r="J4588" s="9">
        <v>54321</v>
      </c>
      <c r="K4588" s="9" t="s">
        <v>23</v>
      </c>
      <c r="L4588" s="9"/>
    </row>
    <row r="4589" spans="2:12" ht="15" x14ac:dyDescent="0.25">
      <c r="B4589" t="s">
        <v>3400</v>
      </c>
      <c r="C4589" t="s">
        <v>3401</v>
      </c>
      <c r="D4589" t="str">
        <f>HYPERLINK("https://rhld.insurance.arkansas.gov/NPILookup?Npi=1841395423","1841395423")</f>
        <v>1841395423</v>
      </c>
      <c r="E4589" t="s">
        <v>4042</v>
      </c>
      <c r="F4589" t="s">
        <v>12</v>
      </c>
      <c r="G4589" s="20">
        <v>1</v>
      </c>
      <c r="H4589" t="s">
        <v>4338</v>
      </c>
      <c r="I4589" t="s">
        <v>32</v>
      </c>
      <c r="J4589" s="9">
        <v>54321</v>
      </c>
      <c r="K4589" s="9" t="s">
        <v>23</v>
      </c>
      <c r="L4589" s="9"/>
    </row>
    <row r="4590" spans="2:12" ht="15" x14ac:dyDescent="0.25">
      <c r="B4590" t="s">
        <v>3400</v>
      </c>
      <c r="C4590" t="s">
        <v>3401</v>
      </c>
      <c r="D4590" t="str">
        <f>HYPERLINK("https://rhld.insurance.arkansas.gov/NPILookup?Npi=1841625308","1841625308")</f>
        <v>1841625308</v>
      </c>
      <c r="E4590" t="s">
        <v>1836</v>
      </c>
      <c r="F4590" t="s">
        <v>13</v>
      </c>
      <c r="G4590" s="20">
        <v>1</v>
      </c>
      <c r="H4590" t="s">
        <v>3403</v>
      </c>
      <c r="I4590" t="s">
        <v>4357</v>
      </c>
      <c r="J4590" s="9">
        <v>54321</v>
      </c>
      <c r="K4590" s="9" t="s">
        <v>23</v>
      </c>
      <c r="L4590" s="9"/>
    </row>
    <row r="4591" spans="2:12" ht="15" x14ac:dyDescent="0.25">
      <c r="B4591" t="s">
        <v>3400</v>
      </c>
      <c r="C4591" t="s">
        <v>3401</v>
      </c>
      <c r="D4591" t="str">
        <f>HYPERLINK("https://rhld.insurance.arkansas.gov/NPILookup?Npi=1841630894","1841630894")</f>
        <v>1841630894</v>
      </c>
      <c r="E4591" t="s">
        <v>4043</v>
      </c>
      <c r="F4591" t="s">
        <v>12</v>
      </c>
      <c r="G4591" s="20">
        <v>1</v>
      </c>
      <c r="H4591" t="s">
        <v>139</v>
      </c>
      <c r="I4591" t="s">
        <v>4357</v>
      </c>
      <c r="J4591" s="9">
        <v>54321</v>
      </c>
      <c r="K4591" s="9" t="s">
        <v>23</v>
      </c>
      <c r="L4591" s="9"/>
    </row>
    <row r="4592" spans="2:12" ht="15" x14ac:dyDescent="0.25">
      <c r="B4592" t="s">
        <v>3400</v>
      </c>
      <c r="C4592" t="s">
        <v>3401</v>
      </c>
      <c r="D4592" t="str">
        <f>HYPERLINK("https://rhld.insurance.arkansas.gov/NPILookup?Npi=1841731155","1841731155")</f>
        <v>1841731155</v>
      </c>
      <c r="E4592" t="s">
        <v>4044</v>
      </c>
      <c r="F4592" t="s">
        <v>13</v>
      </c>
      <c r="G4592" s="20">
        <v>1</v>
      </c>
      <c r="H4592" t="s">
        <v>3403</v>
      </c>
      <c r="I4592" t="s">
        <v>32</v>
      </c>
      <c r="J4592" s="9">
        <v>54321</v>
      </c>
      <c r="K4592" s="9" t="s">
        <v>23</v>
      </c>
      <c r="L4592" s="9"/>
    </row>
    <row r="4593" spans="2:12" ht="15" x14ac:dyDescent="0.25">
      <c r="B4593" t="s">
        <v>3400</v>
      </c>
      <c r="C4593" t="s">
        <v>3401</v>
      </c>
      <c r="D4593" t="str">
        <f>HYPERLINK("https://rhld.insurance.arkansas.gov/NPILookup?Npi=1841922937","1841922937")</f>
        <v>1841922937</v>
      </c>
      <c r="E4593" t="s">
        <v>3211</v>
      </c>
      <c r="F4593" t="s">
        <v>13</v>
      </c>
      <c r="G4593" s="20">
        <v>1</v>
      </c>
      <c r="H4593" t="s">
        <v>4357</v>
      </c>
      <c r="I4593" t="s">
        <v>4357</v>
      </c>
      <c r="J4593" s="9">
        <v>54321</v>
      </c>
      <c r="K4593" s="9" t="s">
        <v>23</v>
      </c>
      <c r="L4593" s="9"/>
    </row>
    <row r="4594" spans="2:12" ht="15" x14ac:dyDescent="0.25">
      <c r="B4594" t="s">
        <v>3400</v>
      </c>
      <c r="C4594" t="s">
        <v>3401</v>
      </c>
      <c r="D4594" t="str">
        <f>HYPERLINK("https://rhld.insurance.arkansas.gov/NPILookup?Npi=1841923885","1841923885")</f>
        <v>1841923885</v>
      </c>
      <c r="E4594" t="s">
        <v>1883</v>
      </c>
      <c r="F4594" t="s">
        <v>13</v>
      </c>
      <c r="G4594" s="20">
        <v>1</v>
      </c>
      <c r="H4594" t="s">
        <v>3403</v>
      </c>
      <c r="I4594" t="s">
        <v>4357</v>
      </c>
      <c r="J4594" s="9">
        <v>54321</v>
      </c>
      <c r="K4594" s="9" t="s">
        <v>23</v>
      </c>
      <c r="L4594" s="9"/>
    </row>
    <row r="4595" spans="2:12" ht="15" x14ac:dyDescent="0.25">
      <c r="B4595" t="s">
        <v>3400</v>
      </c>
      <c r="C4595" t="s">
        <v>3401</v>
      </c>
      <c r="D4595" t="str">
        <f>HYPERLINK("https://rhld.insurance.arkansas.gov/NPILookup?Npi=1841929312","1841929312")</f>
        <v>1841929312</v>
      </c>
      <c r="E4595" t="s">
        <v>3212</v>
      </c>
      <c r="F4595" t="s">
        <v>13</v>
      </c>
      <c r="G4595" s="20">
        <v>1</v>
      </c>
      <c r="H4595" t="s">
        <v>3403</v>
      </c>
      <c r="I4595" t="s">
        <v>4357</v>
      </c>
      <c r="J4595" s="9">
        <v>54321</v>
      </c>
      <c r="K4595" s="9" t="s">
        <v>23</v>
      </c>
      <c r="L4595" s="9"/>
    </row>
    <row r="4596" spans="2:12" ht="15" x14ac:dyDescent="0.25">
      <c r="B4596" t="s">
        <v>3400</v>
      </c>
      <c r="C4596" t="s">
        <v>3401</v>
      </c>
      <c r="D4596" t="str">
        <f>HYPERLINK("https://rhld.insurance.arkansas.gov/NPILookup?Npi=1851098164","1851098164")</f>
        <v>1851098164</v>
      </c>
      <c r="E4596" t="s">
        <v>4045</v>
      </c>
      <c r="F4596" t="s">
        <v>13</v>
      </c>
      <c r="G4596" s="20">
        <v>1</v>
      </c>
      <c r="H4596" t="s">
        <v>3403</v>
      </c>
      <c r="I4596" t="s">
        <v>4357</v>
      </c>
      <c r="J4596" s="9">
        <v>54321</v>
      </c>
      <c r="K4596" s="9" t="s">
        <v>23</v>
      </c>
      <c r="L4596" s="9"/>
    </row>
    <row r="4597" spans="2:12" ht="15" x14ac:dyDescent="0.25">
      <c r="B4597" t="s">
        <v>3400</v>
      </c>
      <c r="C4597" t="s">
        <v>3401</v>
      </c>
      <c r="D4597" t="str">
        <f>HYPERLINK("https://rhld.insurance.arkansas.gov/NPILookup?Npi=1851102727","1851102727")</f>
        <v>1851102727</v>
      </c>
      <c r="E4597" t="s">
        <v>3213</v>
      </c>
      <c r="F4597" t="s">
        <v>13</v>
      </c>
      <c r="G4597" s="20">
        <v>1</v>
      </c>
      <c r="H4597" t="s">
        <v>4357</v>
      </c>
      <c r="I4597" t="s">
        <v>4357</v>
      </c>
      <c r="J4597" s="9">
        <v>54321</v>
      </c>
      <c r="K4597" s="9" t="s">
        <v>23</v>
      </c>
      <c r="L4597" s="9"/>
    </row>
    <row r="4598" spans="2:12" ht="15" x14ac:dyDescent="0.25">
      <c r="B4598" t="s">
        <v>3400</v>
      </c>
      <c r="C4598" t="s">
        <v>3401</v>
      </c>
      <c r="D4598" t="str">
        <f>HYPERLINK("https://rhld.insurance.arkansas.gov/NPILookup?Npi=1851161079","1851161079")</f>
        <v>1851161079</v>
      </c>
      <c r="E4598" t="s">
        <v>4046</v>
      </c>
      <c r="F4598" t="s">
        <v>13</v>
      </c>
      <c r="G4598" s="20">
        <v>1</v>
      </c>
      <c r="H4598" t="s">
        <v>3403</v>
      </c>
      <c r="I4598" t="s">
        <v>4357</v>
      </c>
      <c r="J4598" s="9">
        <v>54321</v>
      </c>
      <c r="K4598" s="9" t="s">
        <v>23</v>
      </c>
      <c r="L4598" s="9"/>
    </row>
    <row r="4599" spans="2:12" ht="15" x14ac:dyDescent="0.25">
      <c r="B4599" t="s">
        <v>3400</v>
      </c>
      <c r="C4599" t="s">
        <v>3401</v>
      </c>
      <c r="D4599" t="str">
        <f>HYPERLINK("https://rhld.insurance.arkansas.gov/NPILookup?Npi=1851187983","1851187983")</f>
        <v>1851187983</v>
      </c>
      <c r="E4599" t="s">
        <v>4047</v>
      </c>
      <c r="F4599" t="s">
        <v>13</v>
      </c>
      <c r="G4599" s="20">
        <v>1</v>
      </c>
      <c r="H4599" t="s">
        <v>87</v>
      </c>
      <c r="I4599" t="s">
        <v>4357</v>
      </c>
      <c r="J4599" s="9">
        <v>54321</v>
      </c>
      <c r="K4599" s="9" t="s">
        <v>23</v>
      </c>
      <c r="L4599" s="9"/>
    </row>
    <row r="4600" spans="2:12" ht="15" x14ac:dyDescent="0.25">
      <c r="B4600" t="s">
        <v>3400</v>
      </c>
      <c r="C4600" t="s">
        <v>3401</v>
      </c>
      <c r="D4600" t="str">
        <f>HYPERLINK("https://rhld.insurance.arkansas.gov/NPILookup?Npi=1851313399","1851313399")</f>
        <v>1851313399</v>
      </c>
      <c r="E4600" t="s">
        <v>3214</v>
      </c>
      <c r="F4600" t="s">
        <v>13</v>
      </c>
      <c r="G4600" s="20">
        <v>1</v>
      </c>
      <c r="H4600" t="s">
        <v>3403</v>
      </c>
      <c r="I4600" t="s">
        <v>4357</v>
      </c>
      <c r="J4600" s="9">
        <v>54321</v>
      </c>
      <c r="K4600" s="9" t="s">
        <v>23</v>
      </c>
      <c r="L4600" s="9"/>
    </row>
    <row r="4601" spans="2:12" ht="15" x14ac:dyDescent="0.25">
      <c r="B4601" t="s">
        <v>3400</v>
      </c>
      <c r="C4601" t="s">
        <v>3401</v>
      </c>
      <c r="D4601" t="str">
        <f>HYPERLINK("https://rhld.insurance.arkansas.gov/NPILookup?Npi=1851317051","1851317051")</f>
        <v>1851317051</v>
      </c>
      <c r="E4601" t="s">
        <v>4048</v>
      </c>
      <c r="F4601" t="s">
        <v>13</v>
      </c>
      <c r="G4601" s="20">
        <v>1</v>
      </c>
      <c r="H4601" t="s">
        <v>3403</v>
      </c>
      <c r="I4601" t="s">
        <v>4357</v>
      </c>
      <c r="J4601" s="9">
        <v>54321</v>
      </c>
      <c r="K4601" s="9" t="s">
        <v>23</v>
      </c>
      <c r="L4601" s="9"/>
    </row>
    <row r="4602" spans="2:12" ht="15" x14ac:dyDescent="0.25">
      <c r="B4602" t="s">
        <v>3400</v>
      </c>
      <c r="C4602" t="s">
        <v>3401</v>
      </c>
      <c r="D4602" t="str">
        <f>HYPERLINK("https://rhld.insurance.arkansas.gov/NPILookup?Npi=1851718381","1851718381")</f>
        <v>1851718381</v>
      </c>
      <c r="E4602" t="s">
        <v>4049</v>
      </c>
      <c r="F4602" t="s">
        <v>13</v>
      </c>
      <c r="G4602" s="20">
        <v>1</v>
      </c>
      <c r="H4602" t="s">
        <v>3403</v>
      </c>
      <c r="I4602" t="s">
        <v>32</v>
      </c>
      <c r="J4602" s="9">
        <v>54321</v>
      </c>
      <c r="K4602" s="9" t="s">
        <v>23</v>
      </c>
      <c r="L4602" s="9"/>
    </row>
    <row r="4603" spans="2:12" ht="15" x14ac:dyDescent="0.25">
      <c r="B4603" t="s">
        <v>3400</v>
      </c>
      <c r="C4603" t="s">
        <v>3401</v>
      </c>
      <c r="D4603" t="str">
        <f>HYPERLINK("https://rhld.insurance.arkansas.gov/NPILookup?Npi=1851794291","1851794291")</f>
        <v>1851794291</v>
      </c>
      <c r="E4603" t="s">
        <v>4050</v>
      </c>
      <c r="F4603" t="s">
        <v>13</v>
      </c>
      <c r="G4603" s="20">
        <v>1</v>
      </c>
      <c r="H4603" t="s">
        <v>3403</v>
      </c>
      <c r="I4603" t="s">
        <v>32</v>
      </c>
      <c r="J4603" s="9">
        <v>54321</v>
      </c>
      <c r="K4603" s="9" t="s">
        <v>23</v>
      </c>
      <c r="L4603" s="9"/>
    </row>
    <row r="4604" spans="2:12" ht="15" x14ac:dyDescent="0.25">
      <c r="B4604" t="s">
        <v>3400</v>
      </c>
      <c r="C4604" t="s">
        <v>3401</v>
      </c>
      <c r="D4604" t="str">
        <f>HYPERLINK("https://rhld.insurance.arkansas.gov/NPILookup?Npi=1851845200","1851845200")</f>
        <v>1851845200</v>
      </c>
      <c r="E4604" t="s">
        <v>4051</v>
      </c>
      <c r="F4604" t="s">
        <v>13</v>
      </c>
      <c r="G4604" s="20">
        <v>1</v>
      </c>
      <c r="H4604" t="s">
        <v>3403</v>
      </c>
      <c r="I4604" t="s">
        <v>32</v>
      </c>
      <c r="J4604" s="9">
        <v>54321</v>
      </c>
      <c r="K4604" s="9" t="s">
        <v>23</v>
      </c>
      <c r="L4604" s="9"/>
    </row>
    <row r="4605" spans="2:12" ht="15" x14ac:dyDescent="0.25">
      <c r="B4605" t="s">
        <v>3400</v>
      </c>
      <c r="C4605" t="s">
        <v>3401</v>
      </c>
      <c r="D4605" t="str">
        <f>HYPERLINK("https://rhld.insurance.arkansas.gov/NPILookup?Npi=1851977227","1851977227")</f>
        <v>1851977227</v>
      </c>
      <c r="E4605" t="s">
        <v>3221</v>
      </c>
      <c r="F4605" t="s">
        <v>13</v>
      </c>
      <c r="G4605" s="20">
        <v>1</v>
      </c>
      <c r="H4605" t="s">
        <v>4357</v>
      </c>
      <c r="I4605" t="s">
        <v>4357</v>
      </c>
      <c r="J4605" s="9">
        <v>54321</v>
      </c>
      <c r="K4605" s="9" t="s">
        <v>23</v>
      </c>
      <c r="L4605" s="9"/>
    </row>
    <row r="4606" spans="2:12" ht="15" x14ac:dyDescent="0.25">
      <c r="B4606" t="s">
        <v>3400</v>
      </c>
      <c r="C4606" t="s">
        <v>3401</v>
      </c>
      <c r="D4606" t="str">
        <f>HYPERLINK("https://rhld.insurance.arkansas.gov/NPILookup?Npi=1861020240","1861020240")</f>
        <v>1861020240</v>
      </c>
      <c r="E4606" t="s">
        <v>4052</v>
      </c>
      <c r="F4606" t="s">
        <v>13</v>
      </c>
      <c r="G4606" s="20">
        <v>1</v>
      </c>
      <c r="H4606" t="s">
        <v>3403</v>
      </c>
      <c r="I4606" t="s">
        <v>32</v>
      </c>
      <c r="J4606" s="9">
        <v>54321</v>
      </c>
      <c r="K4606" s="9" t="s">
        <v>23</v>
      </c>
      <c r="L4606" s="9"/>
    </row>
    <row r="4607" spans="2:12" ht="15" x14ac:dyDescent="0.25">
      <c r="B4607" t="s">
        <v>3400</v>
      </c>
      <c r="C4607" t="s">
        <v>3401</v>
      </c>
      <c r="D4607" t="str">
        <f>HYPERLINK("https://rhld.insurance.arkansas.gov/NPILookup?Npi=1861064560","1861064560")</f>
        <v>1861064560</v>
      </c>
      <c r="E4607" t="s">
        <v>4053</v>
      </c>
      <c r="F4607" t="s">
        <v>13</v>
      </c>
      <c r="G4607" s="20">
        <v>1</v>
      </c>
      <c r="H4607" t="s">
        <v>3403</v>
      </c>
      <c r="I4607" t="s">
        <v>4357</v>
      </c>
      <c r="J4607" s="9">
        <v>54321</v>
      </c>
      <c r="K4607" s="9" t="s">
        <v>23</v>
      </c>
      <c r="L4607" s="9"/>
    </row>
    <row r="4608" spans="2:12" ht="15" x14ac:dyDescent="0.25">
      <c r="B4608" t="s">
        <v>3400</v>
      </c>
      <c r="C4608" t="s">
        <v>3401</v>
      </c>
      <c r="D4608" t="str">
        <f>HYPERLINK("https://rhld.insurance.arkansas.gov/NPILookup?Npi=1861075939","1861075939")</f>
        <v>1861075939</v>
      </c>
      <c r="E4608" t="s">
        <v>4054</v>
      </c>
      <c r="F4608" t="s">
        <v>13</v>
      </c>
      <c r="G4608" s="20">
        <v>1</v>
      </c>
      <c r="H4608" t="s">
        <v>3403</v>
      </c>
      <c r="I4608" t="s">
        <v>32</v>
      </c>
      <c r="J4608" s="9">
        <v>54321</v>
      </c>
      <c r="K4608" s="9" t="s">
        <v>23</v>
      </c>
      <c r="L4608" s="9"/>
    </row>
    <row r="4609" spans="2:12" ht="15" x14ac:dyDescent="0.25">
      <c r="B4609" t="s">
        <v>3400</v>
      </c>
      <c r="C4609" t="s">
        <v>3401</v>
      </c>
      <c r="D4609" t="str">
        <f>HYPERLINK("https://rhld.insurance.arkansas.gov/NPILookup?Npi=1861138901","1861138901")</f>
        <v>1861138901</v>
      </c>
      <c r="E4609" t="s">
        <v>4055</v>
      </c>
      <c r="F4609" t="s">
        <v>13</v>
      </c>
      <c r="G4609" s="20">
        <v>1</v>
      </c>
      <c r="H4609" t="s">
        <v>3403</v>
      </c>
      <c r="I4609" t="s">
        <v>32</v>
      </c>
      <c r="J4609" s="9">
        <v>54321</v>
      </c>
      <c r="K4609" s="9" t="s">
        <v>23</v>
      </c>
      <c r="L4609" s="9"/>
    </row>
    <row r="4610" spans="2:12" ht="15" x14ac:dyDescent="0.25">
      <c r="B4610" t="s">
        <v>3400</v>
      </c>
      <c r="C4610" t="s">
        <v>3401</v>
      </c>
      <c r="D4610" t="str">
        <f>HYPERLINK("https://rhld.insurance.arkansas.gov/NPILookup?Npi=1861239279","1861239279")</f>
        <v>1861239279</v>
      </c>
      <c r="E4610" t="s">
        <v>3223</v>
      </c>
      <c r="F4610" t="s">
        <v>13</v>
      </c>
      <c r="G4610" s="20">
        <v>2</v>
      </c>
      <c r="H4610" t="s">
        <v>439</v>
      </c>
      <c r="I4610" t="s">
        <v>4357</v>
      </c>
      <c r="J4610" s="9">
        <v>54321</v>
      </c>
      <c r="K4610" s="9" t="s">
        <v>23</v>
      </c>
      <c r="L4610" s="9"/>
    </row>
    <row r="4611" spans="2:12" ht="15" x14ac:dyDescent="0.25">
      <c r="B4611" t="s">
        <v>3400</v>
      </c>
      <c r="C4611" t="s">
        <v>3401</v>
      </c>
      <c r="D4611" t="str">
        <f>HYPERLINK("https://rhld.insurance.arkansas.gov/NPILookup?Npi=1861450942","1861450942")</f>
        <v>1861450942</v>
      </c>
      <c r="E4611" t="s">
        <v>4056</v>
      </c>
      <c r="F4611" t="s">
        <v>13</v>
      </c>
      <c r="G4611" s="20">
        <v>1</v>
      </c>
      <c r="H4611" t="s">
        <v>3403</v>
      </c>
      <c r="I4611" t="s">
        <v>32</v>
      </c>
      <c r="J4611" s="9">
        <v>54321</v>
      </c>
      <c r="K4611" s="9" t="s">
        <v>23</v>
      </c>
      <c r="L4611" s="9"/>
    </row>
    <row r="4612" spans="2:12" ht="15" x14ac:dyDescent="0.25">
      <c r="B4612" t="s">
        <v>3400</v>
      </c>
      <c r="C4612" t="s">
        <v>3401</v>
      </c>
      <c r="D4612" t="str">
        <f>HYPERLINK("https://rhld.insurance.arkansas.gov/NPILookup?Npi=1861479966","1861479966")</f>
        <v>1861479966</v>
      </c>
      <c r="E4612" t="s">
        <v>4057</v>
      </c>
      <c r="F4612" t="s">
        <v>13</v>
      </c>
      <c r="G4612" s="20">
        <v>1</v>
      </c>
      <c r="H4612" t="s">
        <v>3403</v>
      </c>
      <c r="I4612" t="s">
        <v>32</v>
      </c>
      <c r="J4612" s="9">
        <v>54321</v>
      </c>
      <c r="K4612" s="9" t="s">
        <v>23</v>
      </c>
      <c r="L4612" s="9"/>
    </row>
    <row r="4613" spans="2:12" ht="15" x14ac:dyDescent="0.25">
      <c r="B4613" t="s">
        <v>3400</v>
      </c>
      <c r="C4613" t="s">
        <v>3401</v>
      </c>
      <c r="D4613" t="str">
        <f>HYPERLINK("https://rhld.insurance.arkansas.gov/NPILookup?Npi=1861498776","1861498776")</f>
        <v>1861498776</v>
      </c>
      <c r="E4613" t="s">
        <v>4058</v>
      </c>
      <c r="F4613" t="s">
        <v>13</v>
      </c>
      <c r="G4613" s="20">
        <v>1</v>
      </c>
      <c r="H4613" t="s">
        <v>3403</v>
      </c>
      <c r="I4613" t="s">
        <v>4357</v>
      </c>
      <c r="J4613" s="9">
        <v>54321</v>
      </c>
      <c r="K4613" s="9" t="s">
        <v>23</v>
      </c>
      <c r="L4613" s="9"/>
    </row>
    <row r="4614" spans="2:12" ht="15" x14ac:dyDescent="0.25">
      <c r="B4614" t="s">
        <v>3400</v>
      </c>
      <c r="C4614" t="s">
        <v>3401</v>
      </c>
      <c r="D4614" t="str">
        <f>HYPERLINK("https://rhld.insurance.arkansas.gov/NPILookup?Npi=1861506453","1861506453")</f>
        <v>1861506453</v>
      </c>
      <c r="E4614" t="s">
        <v>4059</v>
      </c>
      <c r="F4614" t="s">
        <v>13</v>
      </c>
      <c r="G4614" s="20">
        <v>1</v>
      </c>
      <c r="H4614" t="s">
        <v>3403</v>
      </c>
      <c r="I4614" t="s">
        <v>4357</v>
      </c>
      <c r="J4614" s="9">
        <v>54321</v>
      </c>
      <c r="K4614" s="9" t="s">
        <v>23</v>
      </c>
      <c r="L4614" s="9"/>
    </row>
    <row r="4615" spans="2:12" ht="15" x14ac:dyDescent="0.25">
      <c r="B4615" t="s">
        <v>3400</v>
      </c>
      <c r="C4615" t="s">
        <v>3401</v>
      </c>
      <c r="D4615" t="str">
        <f>HYPERLINK("https://rhld.insurance.arkansas.gov/NPILookup?Npi=1861683435","1861683435")</f>
        <v>1861683435</v>
      </c>
      <c r="E4615" t="s">
        <v>874</v>
      </c>
      <c r="F4615" t="s">
        <v>13</v>
      </c>
      <c r="G4615" s="20">
        <v>1</v>
      </c>
      <c r="H4615" t="s">
        <v>3403</v>
      </c>
      <c r="I4615" t="s">
        <v>32</v>
      </c>
      <c r="J4615" s="9">
        <v>54321</v>
      </c>
      <c r="K4615" s="9" t="s">
        <v>23</v>
      </c>
      <c r="L4615" s="9"/>
    </row>
    <row r="4616" spans="2:12" ht="15" x14ac:dyDescent="0.25">
      <c r="B4616" t="s">
        <v>3400</v>
      </c>
      <c r="C4616" t="s">
        <v>3401</v>
      </c>
      <c r="D4616" t="str">
        <f>HYPERLINK("https://rhld.insurance.arkansas.gov/NPILookup?Npi=1861755118","1861755118")</f>
        <v>1861755118</v>
      </c>
      <c r="E4616" t="s">
        <v>4060</v>
      </c>
      <c r="F4616" t="s">
        <v>13</v>
      </c>
      <c r="G4616" s="20">
        <v>1</v>
      </c>
      <c r="H4616" t="s">
        <v>3403</v>
      </c>
      <c r="I4616" t="s">
        <v>32</v>
      </c>
      <c r="J4616" s="9">
        <v>54321</v>
      </c>
      <c r="K4616" s="9" t="s">
        <v>23</v>
      </c>
      <c r="L4616" s="9"/>
    </row>
    <row r="4617" spans="2:12" ht="15" x14ac:dyDescent="0.25">
      <c r="B4617" t="s">
        <v>3400</v>
      </c>
      <c r="C4617" t="s">
        <v>3401</v>
      </c>
      <c r="D4617" t="str">
        <f>HYPERLINK("https://rhld.insurance.arkansas.gov/NPILookup?Npi=1861788028","1861788028")</f>
        <v>1861788028</v>
      </c>
      <c r="E4617" t="s">
        <v>4061</v>
      </c>
      <c r="F4617" t="s">
        <v>13</v>
      </c>
      <c r="G4617" s="20">
        <v>1</v>
      </c>
      <c r="H4617" t="s">
        <v>3403</v>
      </c>
      <c r="I4617" t="s">
        <v>32</v>
      </c>
      <c r="J4617" s="9">
        <v>54321</v>
      </c>
      <c r="K4617" s="9" t="s">
        <v>23</v>
      </c>
      <c r="L4617" s="9"/>
    </row>
    <row r="4618" spans="2:12" ht="15" x14ac:dyDescent="0.25">
      <c r="B4618" t="s">
        <v>3400</v>
      </c>
      <c r="C4618" t="s">
        <v>3401</v>
      </c>
      <c r="D4618" t="str">
        <f>HYPERLINK("https://rhld.insurance.arkansas.gov/NPILookup?Npi=1861843690","1861843690")</f>
        <v>1861843690</v>
      </c>
      <c r="E4618" t="s">
        <v>3225</v>
      </c>
      <c r="F4618" t="s">
        <v>13</v>
      </c>
      <c r="G4618" s="20">
        <v>1</v>
      </c>
      <c r="H4618" t="s">
        <v>3403</v>
      </c>
      <c r="I4618" t="s">
        <v>4357</v>
      </c>
      <c r="J4618" s="9">
        <v>54321</v>
      </c>
      <c r="K4618" s="9" t="s">
        <v>23</v>
      </c>
      <c r="L4618" s="9"/>
    </row>
    <row r="4619" spans="2:12" ht="15" x14ac:dyDescent="0.25">
      <c r="B4619" t="s">
        <v>3400</v>
      </c>
      <c r="C4619" t="s">
        <v>3401</v>
      </c>
      <c r="D4619" t="str">
        <f>HYPERLINK("https://rhld.insurance.arkansas.gov/NPILookup?Npi=1861885832","1861885832")</f>
        <v>1861885832</v>
      </c>
      <c r="E4619" t="s">
        <v>3227</v>
      </c>
      <c r="F4619" t="s">
        <v>13</v>
      </c>
      <c r="G4619" s="20">
        <v>1</v>
      </c>
      <c r="H4619" t="s">
        <v>3403</v>
      </c>
      <c r="I4619" t="s">
        <v>4357</v>
      </c>
      <c r="J4619" s="9">
        <v>54321</v>
      </c>
      <c r="K4619" s="9" t="s">
        <v>23</v>
      </c>
      <c r="L4619" s="9"/>
    </row>
    <row r="4620" spans="2:12" ht="15" x14ac:dyDescent="0.25">
      <c r="B4620" t="s">
        <v>3400</v>
      </c>
      <c r="C4620" t="s">
        <v>3401</v>
      </c>
      <c r="D4620" t="str">
        <f>HYPERLINK("https://rhld.insurance.arkansas.gov/NPILookup?Npi=1871059709","1871059709")</f>
        <v>1871059709</v>
      </c>
      <c r="E4620" t="s">
        <v>3229</v>
      </c>
      <c r="F4620" t="s">
        <v>13</v>
      </c>
      <c r="G4620" s="20">
        <v>1</v>
      </c>
      <c r="H4620" t="s">
        <v>4357</v>
      </c>
      <c r="I4620" t="s">
        <v>4357</v>
      </c>
      <c r="J4620" s="9">
        <v>54321</v>
      </c>
      <c r="K4620" s="9" t="s">
        <v>23</v>
      </c>
      <c r="L4620" s="9"/>
    </row>
    <row r="4621" spans="2:12" ht="15" x14ac:dyDescent="0.25">
      <c r="B4621" t="s">
        <v>3400</v>
      </c>
      <c r="C4621" t="s">
        <v>3401</v>
      </c>
      <c r="D4621" t="str">
        <f>HYPERLINK("https://rhld.insurance.arkansas.gov/NPILookup?Npi=1871123968","1871123968")</f>
        <v>1871123968</v>
      </c>
      <c r="E4621" t="s">
        <v>2096</v>
      </c>
      <c r="F4621" t="s">
        <v>13</v>
      </c>
      <c r="G4621" s="20">
        <v>1</v>
      </c>
      <c r="H4621" t="s">
        <v>4357</v>
      </c>
      <c r="I4621" t="s">
        <v>4357</v>
      </c>
      <c r="J4621" s="9">
        <v>54321</v>
      </c>
      <c r="K4621" s="9" t="s">
        <v>23</v>
      </c>
      <c r="L4621" s="9"/>
    </row>
    <row r="4622" spans="2:12" ht="30" x14ac:dyDescent="0.25">
      <c r="B4622" t="s">
        <v>3400</v>
      </c>
      <c r="C4622" t="s">
        <v>3401</v>
      </c>
      <c r="D4622" t="str">
        <f>HYPERLINK("https://rhld.insurance.arkansas.gov/NPILookup?Npi=1871244749","1871244749")</f>
        <v>1871244749</v>
      </c>
      <c r="E4622" t="s">
        <v>3232</v>
      </c>
      <c r="F4622" t="s">
        <v>13</v>
      </c>
      <c r="G4622" s="20">
        <v>1</v>
      </c>
      <c r="H4622" t="s">
        <v>3403</v>
      </c>
      <c r="I4622" t="s">
        <v>4357</v>
      </c>
      <c r="J4622" s="9">
        <v>54321</v>
      </c>
      <c r="K4622" s="9" t="s">
        <v>22</v>
      </c>
      <c r="L4622" s="9" t="s">
        <v>4642</v>
      </c>
    </row>
    <row r="4623" spans="2:12" ht="15" x14ac:dyDescent="0.25">
      <c r="B4623" t="s">
        <v>3400</v>
      </c>
      <c r="C4623" t="s">
        <v>3401</v>
      </c>
      <c r="D4623" t="str">
        <f>HYPERLINK("https://rhld.insurance.arkansas.gov/NPILookup?Npi=1871276667","1871276667")</f>
        <v>1871276667</v>
      </c>
      <c r="E4623" t="s">
        <v>3234</v>
      </c>
      <c r="F4623" t="s">
        <v>13</v>
      </c>
      <c r="G4623" s="20">
        <v>1</v>
      </c>
      <c r="H4623" t="s">
        <v>3403</v>
      </c>
      <c r="I4623" t="s">
        <v>4357</v>
      </c>
      <c r="J4623" s="9">
        <v>54321</v>
      </c>
      <c r="K4623" s="9" t="s">
        <v>23</v>
      </c>
      <c r="L4623" s="9"/>
    </row>
    <row r="4624" spans="2:12" ht="15" x14ac:dyDescent="0.25">
      <c r="B4624" t="s">
        <v>3400</v>
      </c>
      <c r="C4624" t="s">
        <v>3401</v>
      </c>
      <c r="D4624" t="str">
        <f>HYPERLINK("https://rhld.insurance.arkansas.gov/NPILookup?Npi=1871294553","1871294553")</f>
        <v>1871294553</v>
      </c>
      <c r="E4624" t="s">
        <v>4062</v>
      </c>
      <c r="F4624" t="s">
        <v>13</v>
      </c>
      <c r="G4624" s="20">
        <v>1</v>
      </c>
      <c r="H4624" t="s">
        <v>3403</v>
      </c>
      <c r="I4624" t="s">
        <v>4357</v>
      </c>
      <c r="J4624" s="9">
        <v>54321</v>
      </c>
      <c r="K4624" s="9" t="s">
        <v>23</v>
      </c>
      <c r="L4624" s="9"/>
    </row>
    <row r="4625" spans="2:12" ht="15" x14ac:dyDescent="0.25">
      <c r="B4625" t="s">
        <v>3400</v>
      </c>
      <c r="C4625" t="s">
        <v>3401</v>
      </c>
      <c r="D4625" t="str">
        <f>HYPERLINK("https://rhld.insurance.arkansas.gov/NPILookup?Npi=1871306787","1871306787")</f>
        <v>1871306787</v>
      </c>
      <c r="E4625" t="s">
        <v>3235</v>
      </c>
      <c r="F4625" t="s">
        <v>13</v>
      </c>
      <c r="G4625" s="20">
        <v>1</v>
      </c>
      <c r="H4625" t="s">
        <v>4357</v>
      </c>
      <c r="I4625" t="s">
        <v>4357</v>
      </c>
      <c r="J4625" s="9">
        <v>54321</v>
      </c>
      <c r="K4625" s="9" t="s">
        <v>23</v>
      </c>
      <c r="L4625" s="9"/>
    </row>
    <row r="4626" spans="2:12" ht="15" x14ac:dyDescent="0.25">
      <c r="B4626" t="s">
        <v>3400</v>
      </c>
      <c r="C4626" t="s">
        <v>3401</v>
      </c>
      <c r="D4626" t="str">
        <f>HYPERLINK("https://rhld.insurance.arkansas.gov/NPILookup?Npi=1871515452","1871515452")</f>
        <v>1871515452</v>
      </c>
      <c r="E4626" t="s">
        <v>4063</v>
      </c>
      <c r="F4626" t="s">
        <v>12</v>
      </c>
      <c r="G4626" s="20">
        <v>1</v>
      </c>
      <c r="H4626" t="s">
        <v>4338</v>
      </c>
      <c r="I4626" t="s">
        <v>32</v>
      </c>
      <c r="J4626" s="9">
        <v>54321</v>
      </c>
      <c r="K4626" s="9" t="s">
        <v>23</v>
      </c>
      <c r="L4626" s="9"/>
    </row>
    <row r="4627" spans="2:12" ht="15" x14ac:dyDescent="0.25">
      <c r="B4627" t="s">
        <v>3400</v>
      </c>
      <c r="C4627" t="s">
        <v>3401</v>
      </c>
      <c r="D4627" t="str">
        <f>HYPERLINK("https://rhld.insurance.arkansas.gov/NPILookup?Npi=1871516336","1871516336")</f>
        <v>1871516336</v>
      </c>
      <c r="E4627" t="s">
        <v>4064</v>
      </c>
      <c r="F4627" t="s">
        <v>13</v>
      </c>
      <c r="G4627" s="20">
        <v>1</v>
      </c>
      <c r="H4627" t="s">
        <v>3403</v>
      </c>
      <c r="I4627" t="s">
        <v>32</v>
      </c>
      <c r="J4627" s="9">
        <v>54321</v>
      </c>
      <c r="K4627" s="9" t="s">
        <v>23</v>
      </c>
      <c r="L4627" s="9"/>
    </row>
    <row r="4628" spans="2:12" ht="15" x14ac:dyDescent="0.25">
      <c r="B4628" t="s">
        <v>3400</v>
      </c>
      <c r="C4628" t="s">
        <v>3401</v>
      </c>
      <c r="D4628" t="str">
        <f>HYPERLINK("https://rhld.insurance.arkansas.gov/NPILookup?Npi=1871589309","1871589309")</f>
        <v>1871589309</v>
      </c>
      <c r="E4628" t="s">
        <v>4065</v>
      </c>
      <c r="F4628" t="s">
        <v>13</v>
      </c>
      <c r="G4628" s="20">
        <v>1</v>
      </c>
      <c r="H4628" t="s">
        <v>3403</v>
      </c>
      <c r="I4628" t="s">
        <v>32</v>
      </c>
      <c r="J4628" s="9">
        <v>54321</v>
      </c>
      <c r="K4628" s="9" t="s">
        <v>23</v>
      </c>
      <c r="L4628" s="9"/>
    </row>
    <row r="4629" spans="2:12" ht="15" x14ac:dyDescent="0.25">
      <c r="B4629" t="s">
        <v>3400</v>
      </c>
      <c r="C4629" t="s">
        <v>3401</v>
      </c>
      <c r="D4629" t="str">
        <f>HYPERLINK("https://rhld.insurance.arkansas.gov/NPILookup?Npi=1871667618","1871667618")</f>
        <v>1871667618</v>
      </c>
      <c r="E4629" t="s">
        <v>3237</v>
      </c>
      <c r="F4629" t="s">
        <v>13</v>
      </c>
      <c r="G4629" s="20">
        <v>1</v>
      </c>
      <c r="H4629" t="s">
        <v>3403</v>
      </c>
      <c r="I4629" t="s">
        <v>32</v>
      </c>
      <c r="J4629" s="9">
        <v>54321</v>
      </c>
      <c r="K4629" s="9" t="s">
        <v>23</v>
      </c>
      <c r="L4629" s="9"/>
    </row>
    <row r="4630" spans="2:12" ht="15" x14ac:dyDescent="0.25">
      <c r="B4630" t="s">
        <v>3400</v>
      </c>
      <c r="C4630" t="s">
        <v>3401</v>
      </c>
      <c r="D4630" t="str">
        <f>HYPERLINK("https://rhld.insurance.arkansas.gov/NPILookup?Npi=1871715904","1871715904")</f>
        <v>1871715904</v>
      </c>
      <c r="E4630" t="s">
        <v>4066</v>
      </c>
      <c r="F4630" t="s">
        <v>13</v>
      </c>
      <c r="G4630" s="20">
        <v>1</v>
      </c>
      <c r="H4630" t="s">
        <v>3403</v>
      </c>
      <c r="I4630" t="s">
        <v>32</v>
      </c>
      <c r="J4630" s="9">
        <v>54321</v>
      </c>
      <c r="K4630" s="9" t="s">
        <v>23</v>
      </c>
      <c r="L4630" s="9"/>
    </row>
    <row r="4631" spans="2:12" ht="15" x14ac:dyDescent="0.25">
      <c r="B4631" t="s">
        <v>3400</v>
      </c>
      <c r="C4631" t="s">
        <v>3401</v>
      </c>
      <c r="D4631" t="str">
        <f>HYPERLINK("https://rhld.insurance.arkansas.gov/NPILookup?Npi=1871850420","1871850420")</f>
        <v>1871850420</v>
      </c>
      <c r="E4631" t="s">
        <v>4067</v>
      </c>
      <c r="F4631" t="s">
        <v>13</v>
      </c>
      <c r="G4631" s="20">
        <v>1</v>
      </c>
      <c r="H4631" t="s">
        <v>3403</v>
      </c>
      <c r="I4631" t="s">
        <v>32</v>
      </c>
      <c r="J4631" s="9">
        <v>54321</v>
      </c>
      <c r="K4631" s="9" t="s">
        <v>23</v>
      </c>
      <c r="L4631" s="9"/>
    </row>
    <row r="4632" spans="2:12" ht="15" x14ac:dyDescent="0.25">
      <c r="B4632" t="s">
        <v>3400</v>
      </c>
      <c r="C4632" t="s">
        <v>3401</v>
      </c>
      <c r="D4632" t="str">
        <f>HYPERLINK("https://rhld.insurance.arkansas.gov/NPILookup?Npi=1871955351","1871955351")</f>
        <v>1871955351</v>
      </c>
      <c r="E4632" t="s">
        <v>4068</v>
      </c>
      <c r="F4632" t="s">
        <v>13</v>
      </c>
      <c r="G4632" s="20">
        <v>1</v>
      </c>
      <c r="H4632" t="s">
        <v>87</v>
      </c>
      <c r="I4632" t="s">
        <v>4357</v>
      </c>
      <c r="J4632" s="9">
        <v>54321</v>
      </c>
      <c r="K4632" s="9" t="s">
        <v>23</v>
      </c>
      <c r="L4632" s="9"/>
    </row>
    <row r="4633" spans="2:12" ht="15" x14ac:dyDescent="0.25">
      <c r="B4633" t="s">
        <v>3400</v>
      </c>
      <c r="C4633" t="s">
        <v>3401</v>
      </c>
      <c r="D4633" t="str">
        <f>HYPERLINK("https://rhld.insurance.arkansas.gov/NPILookup?Npi=1881222073","1881222073")</f>
        <v>1881222073</v>
      </c>
      <c r="E4633" t="s">
        <v>4069</v>
      </c>
      <c r="F4633" t="s">
        <v>13</v>
      </c>
      <c r="G4633" s="20">
        <v>1</v>
      </c>
      <c r="H4633" t="s">
        <v>3403</v>
      </c>
      <c r="I4633" t="s">
        <v>32</v>
      </c>
      <c r="J4633" s="9">
        <v>54321</v>
      </c>
      <c r="K4633" s="9" t="s">
        <v>23</v>
      </c>
      <c r="L4633" s="9"/>
    </row>
    <row r="4634" spans="2:12" ht="15" x14ac:dyDescent="0.25">
      <c r="B4634" t="s">
        <v>3400</v>
      </c>
      <c r="C4634" t="s">
        <v>3401</v>
      </c>
      <c r="D4634" t="str">
        <f>HYPERLINK("https://rhld.insurance.arkansas.gov/NPILookup?Npi=1881301968","1881301968")</f>
        <v>1881301968</v>
      </c>
      <c r="E4634" t="s">
        <v>3246</v>
      </c>
      <c r="F4634" t="s">
        <v>13</v>
      </c>
      <c r="G4634" s="20">
        <v>1</v>
      </c>
      <c r="H4634" t="s">
        <v>4357</v>
      </c>
      <c r="I4634" t="s">
        <v>4357</v>
      </c>
      <c r="J4634" s="9">
        <v>54321</v>
      </c>
      <c r="K4634" s="9" t="s">
        <v>23</v>
      </c>
      <c r="L4634" s="9"/>
    </row>
    <row r="4635" spans="2:12" ht="15" x14ac:dyDescent="0.25">
      <c r="B4635" t="s">
        <v>3400</v>
      </c>
      <c r="C4635" t="s">
        <v>3401</v>
      </c>
      <c r="D4635" t="str">
        <f>HYPERLINK("https://rhld.insurance.arkansas.gov/NPILookup?Npi=1881469914","1881469914")</f>
        <v>1881469914</v>
      </c>
      <c r="E4635" t="s">
        <v>3249</v>
      </c>
      <c r="F4635" t="s">
        <v>13</v>
      </c>
      <c r="G4635" s="20">
        <v>1</v>
      </c>
      <c r="H4635" t="s">
        <v>4357</v>
      </c>
      <c r="I4635" t="s">
        <v>4357</v>
      </c>
      <c r="J4635" s="9">
        <v>54321</v>
      </c>
      <c r="K4635" s="9" t="s">
        <v>23</v>
      </c>
      <c r="L4635" s="9"/>
    </row>
    <row r="4636" spans="2:12" ht="15" x14ac:dyDescent="0.25">
      <c r="B4636" t="s">
        <v>3400</v>
      </c>
      <c r="C4636" t="s">
        <v>3401</v>
      </c>
      <c r="D4636" t="str">
        <f>HYPERLINK("https://rhld.insurance.arkansas.gov/NPILookup?Npi=1881620003","1881620003")</f>
        <v>1881620003</v>
      </c>
      <c r="E4636" t="s">
        <v>4070</v>
      </c>
      <c r="F4636" t="s">
        <v>13</v>
      </c>
      <c r="G4636" s="20">
        <v>1</v>
      </c>
      <c r="H4636" t="s">
        <v>3403</v>
      </c>
      <c r="I4636" t="s">
        <v>4357</v>
      </c>
      <c r="J4636" s="9">
        <v>54321</v>
      </c>
      <c r="K4636" s="9" t="s">
        <v>23</v>
      </c>
      <c r="L4636" s="9"/>
    </row>
    <row r="4637" spans="2:12" ht="15" x14ac:dyDescent="0.25">
      <c r="B4637" t="s">
        <v>3400</v>
      </c>
      <c r="C4637" t="s">
        <v>3401</v>
      </c>
      <c r="D4637" t="str">
        <f>HYPERLINK("https://rhld.insurance.arkansas.gov/NPILookup?Npi=1881686962","1881686962")</f>
        <v>1881686962</v>
      </c>
      <c r="E4637" t="s">
        <v>4071</v>
      </c>
      <c r="F4637" t="s">
        <v>13</v>
      </c>
      <c r="G4637" s="20">
        <v>1</v>
      </c>
      <c r="H4637" t="s">
        <v>3403</v>
      </c>
      <c r="I4637" t="s">
        <v>32</v>
      </c>
      <c r="J4637" s="9">
        <v>54321</v>
      </c>
      <c r="K4637" s="9" t="s">
        <v>23</v>
      </c>
      <c r="L4637" s="9"/>
    </row>
    <row r="4638" spans="2:12" ht="15" x14ac:dyDescent="0.25">
      <c r="B4638" t="s">
        <v>3400</v>
      </c>
      <c r="C4638" t="s">
        <v>3401</v>
      </c>
      <c r="D4638" t="str">
        <f>HYPERLINK("https://rhld.insurance.arkansas.gov/NPILookup?Npi=1881719938","1881719938")</f>
        <v>1881719938</v>
      </c>
      <c r="E4638" t="s">
        <v>3253</v>
      </c>
      <c r="F4638" t="s">
        <v>13</v>
      </c>
      <c r="G4638" s="20">
        <v>1</v>
      </c>
      <c r="H4638" t="s">
        <v>3403</v>
      </c>
      <c r="I4638" t="s">
        <v>4357</v>
      </c>
      <c r="J4638" s="9">
        <v>54321</v>
      </c>
      <c r="K4638" s="9" t="s">
        <v>23</v>
      </c>
      <c r="L4638" s="9"/>
    </row>
    <row r="4639" spans="2:12" ht="15" x14ac:dyDescent="0.25">
      <c r="B4639" t="s">
        <v>3400</v>
      </c>
      <c r="C4639" t="s">
        <v>3401</v>
      </c>
      <c r="D4639" t="str">
        <f>HYPERLINK("https://rhld.insurance.arkansas.gov/NPILookup?Npi=1881747046","1881747046")</f>
        <v>1881747046</v>
      </c>
      <c r="E4639" t="s">
        <v>3254</v>
      </c>
      <c r="F4639" t="s">
        <v>13</v>
      </c>
      <c r="G4639" s="20">
        <v>1</v>
      </c>
      <c r="H4639" t="s">
        <v>4357</v>
      </c>
      <c r="I4639" t="s">
        <v>4357</v>
      </c>
      <c r="J4639" s="9">
        <v>54321</v>
      </c>
      <c r="K4639" s="9" t="s">
        <v>23</v>
      </c>
      <c r="L4639" s="9"/>
    </row>
    <row r="4640" spans="2:12" ht="15" x14ac:dyDescent="0.25">
      <c r="B4640" t="s">
        <v>3400</v>
      </c>
      <c r="C4640" t="s">
        <v>3401</v>
      </c>
      <c r="D4640" t="str">
        <f>HYPERLINK("https://rhld.insurance.arkansas.gov/NPILookup?Npi=1881845758","1881845758")</f>
        <v>1881845758</v>
      </c>
      <c r="E4640" t="s">
        <v>4072</v>
      </c>
      <c r="F4640" t="s">
        <v>13</v>
      </c>
      <c r="G4640" s="20">
        <v>1</v>
      </c>
      <c r="H4640" t="s">
        <v>3403</v>
      </c>
      <c r="I4640" t="s">
        <v>32</v>
      </c>
      <c r="J4640" s="9">
        <v>54321</v>
      </c>
      <c r="K4640" s="9" t="s">
        <v>23</v>
      </c>
      <c r="L4640" s="9"/>
    </row>
    <row r="4641" spans="2:12" ht="15" x14ac:dyDescent="0.25">
      <c r="B4641" t="s">
        <v>3400</v>
      </c>
      <c r="C4641" t="s">
        <v>3401</v>
      </c>
      <c r="D4641" t="str">
        <f>HYPERLINK("https://rhld.insurance.arkansas.gov/NPILookup?Npi=1881958288","1881958288")</f>
        <v>1881958288</v>
      </c>
      <c r="E4641" t="s">
        <v>3255</v>
      </c>
      <c r="F4641" t="s">
        <v>13</v>
      </c>
      <c r="G4641" s="20">
        <v>1</v>
      </c>
      <c r="H4641" t="s">
        <v>3403</v>
      </c>
      <c r="I4641" t="s">
        <v>4357</v>
      </c>
      <c r="J4641" s="9">
        <v>54321</v>
      </c>
      <c r="K4641" s="9" t="s">
        <v>23</v>
      </c>
      <c r="L4641" s="9"/>
    </row>
    <row r="4642" spans="2:12" ht="15" x14ac:dyDescent="0.25">
      <c r="B4642" t="s">
        <v>3400</v>
      </c>
      <c r="C4642" t="s">
        <v>3401</v>
      </c>
      <c r="D4642" t="str">
        <f>HYPERLINK("https://rhld.insurance.arkansas.gov/NPILookup?Npi=1891144028","1891144028")</f>
        <v>1891144028</v>
      </c>
      <c r="E4642" t="s">
        <v>3257</v>
      </c>
      <c r="F4642" t="s">
        <v>13</v>
      </c>
      <c r="G4642" s="20">
        <v>1</v>
      </c>
      <c r="H4642" t="s">
        <v>4357</v>
      </c>
      <c r="I4642" t="s">
        <v>4357</v>
      </c>
      <c r="J4642" s="9">
        <v>54321</v>
      </c>
      <c r="K4642" s="9" t="s">
        <v>23</v>
      </c>
      <c r="L4642" s="9"/>
    </row>
    <row r="4643" spans="2:12" ht="15" x14ac:dyDescent="0.25">
      <c r="B4643" t="s">
        <v>3400</v>
      </c>
      <c r="C4643" t="s">
        <v>3401</v>
      </c>
      <c r="D4643" t="str">
        <f>HYPERLINK("https://rhld.insurance.arkansas.gov/NPILookup?Npi=1891337614","1891337614")</f>
        <v>1891337614</v>
      </c>
      <c r="E4643" t="s">
        <v>4073</v>
      </c>
      <c r="F4643" t="s">
        <v>13</v>
      </c>
      <c r="G4643" s="20">
        <v>1</v>
      </c>
      <c r="H4643" t="s">
        <v>87</v>
      </c>
      <c r="I4643" t="s">
        <v>32</v>
      </c>
      <c r="J4643" s="9">
        <v>54321</v>
      </c>
      <c r="K4643" s="9" t="s">
        <v>23</v>
      </c>
      <c r="L4643" s="9"/>
    </row>
    <row r="4644" spans="2:12" ht="15" x14ac:dyDescent="0.25">
      <c r="B4644" t="s">
        <v>3400</v>
      </c>
      <c r="C4644" t="s">
        <v>3401</v>
      </c>
      <c r="D4644" t="str">
        <f>HYPERLINK("https://rhld.insurance.arkansas.gov/NPILookup?Npi=1891388666","1891388666")</f>
        <v>1891388666</v>
      </c>
      <c r="E4644" t="s">
        <v>4074</v>
      </c>
      <c r="F4644" t="s">
        <v>13</v>
      </c>
      <c r="G4644" s="20">
        <v>1</v>
      </c>
      <c r="H4644" t="s">
        <v>3403</v>
      </c>
      <c r="I4644" t="s">
        <v>32</v>
      </c>
      <c r="J4644" s="9">
        <v>54321</v>
      </c>
      <c r="K4644" s="9" t="s">
        <v>23</v>
      </c>
      <c r="L4644" s="9"/>
    </row>
    <row r="4645" spans="2:12" ht="15" x14ac:dyDescent="0.25">
      <c r="B4645" t="s">
        <v>3400</v>
      </c>
      <c r="C4645" t="s">
        <v>3401</v>
      </c>
      <c r="D4645" t="str">
        <f>HYPERLINK("https://rhld.insurance.arkansas.gov/NPILookup?Npi=1891500922","1891500922")</f>
        <v>1891500922</v>
      </c>
      <c r="E4645" t="s">
        <v>3260</v>
      </c>
      <c r="F4645" t="s">
        <v>13</v>
      </c>
      <c r="G4645" s="20">
        <v>1</v>
      </c>
      <c r="H4645" t="s">
        <v>4357</v>
      </c>
      <c r="I4645" t="s">
        <v>4357</v>
      </c>
      <c r="J4645" s="9">
        <v>54321</v>
      </c>
      <c r="K4645" s="9" t="s">
        <v>23</v>
      </c>
      <c r="L4645" s="9"/>
    </row>
    <row r="4646" spans="2:12" ht="15" x14ac:dyDescent="0.25">
      <c r="B4646" t="s">
        <v>3400</v>
      </c>
      <c r="C4646" t="s">
        <v>3401</v>
      </c>
      <c r="D4646" t="str">
        <f>HYPERLINK("https://rhld.insurance.arkansas.gov/NPILookup?Npi=1891537221","1891537221")</f>
        <v>1891537221</v>
      </c>
      <c r="E4646" t="s">
        <v>3262</v>
      </c>
      <c r="F4646" t="s">
        <v>13</v>
      </c>
      <c r="G4646" s="20">
        <v>1</v>
      </c>
      <c r="H4646" t="s">
        <v>4357</v>
      </c>
      <c r="I4646" t="s">
        <v>4357</v>
      </c>
      <c r="J4646" s="9">
        <v>54321</v>
      </c>
      <c r="K4646" s="9" t="s">
        <v>23</v>
      </c>
      <c r="L4646" s="9"/>
    </row>
    <row r="4647" spans="2:12" ht="15" x14ac:dyDescent="0.25">
      <c r="B4647" t="s">
        <v>3400</v>
      </c>
      <c r="C4647" t="s">
        <v>3401</v>
      </c>
      <c r="D4647" t="str">
        <f>HYPERLINK("https://rhld.insurance.arkansas.gov/NPILookup?Npi=1891553434","1891553434")</f>
        <v>1891553434</v>
      </c>
      <c r="E4647" t="s">
        <v>3263</v>
      </c>
      <c r="F4647" t="s">
        <v>13</v>
      </c>
      <c r="G4647" s="20">
        <v>1</v>
      </c>
      <c r="H4647" t="s">
        <v>4357</v>
      </c>
      <c r="I4647" t="s">
        <v>4357</v>
      </c>
      <c r="J4647" s="9">
        <v>54321</v>
      </c>
      <c r="K4647" s="9" t="s">
        <v>23</v>
      </c>
      <c r="L4647" s="9"/>
    </row>
    <row r="4648" spans="2:12" ht="15" x14ac:dyDescent="0.25">
      <c r="B4648" t="s">
        <v>3400</v>
      </c>
      <c r="C4648" t="s">
        <v>3401</v>
      </c>
      <c r="D4648" t="str">
        <f>HYPERLINK("https://rhld.insurance.arkansas.gov/NPILookup?Npi=1891592259","1891592259")</f>
        <v>1891592259</v>
      </c>
      <c r="E4648" t="s">
        <v>2097</v>
      </c>
      <c r="F4648" t="s">
        <v>13</v>
      </c>
      <c r="G4648" s="20">
        <v>1</v>
      </c>
      <c r="H4648" t="s">
        <v>4357</v>
      </c>
      <c r="I4648" t="s">
        <v>4357</v>
      </c>
      <c r="J4648" s="9">
        <v>54321</v>
      </c>
      <c r="K4648" s="9" t="s">
        <v>23</v>
      </c>
      <c r="L4648" s="9"/>
    </row>
    <row r="4649" spans="2:12" ht="15" x14ac:dyDescent="0.25">
      <c r="B4649" t="s">
        <v>3400</v>
      </c>
      <c r="C4649" t="s">
        <v>3401</v>
      </c>
      <c r="D4649" t="str">
        <f>HYPERLINK("https://rhld.insurance.arkansas.gov/NPILookup?Npi=1891768040","1891768040")</f>
        <v>1891768040</v>
      </c>
      <c r="E4649" t="s">
        <v>4075</v>
      </c>
      <c r="F4649" t="s">
        <v>13</v>
      </c>
      <c r="G4649" s="20">
        <v>1</v>
      </c>
      <c r="H4649" t="s">
        <v>3403</v>
      </c>
      <c r="I4649" t="s">
        <v>4357</v>
      </c>
      <c r="J4649" s="9">
        <v>54321</v>
      </c>
      <c r="K4649" s="9" t="s">
        <v>4641</v>
      </c>
      <c r="L4649" s="9"/>
    </row>
    <row r="4650" spans="2:12" ht="15" x14ac:dyDescent="0.25">
      <c r="B4650" t="s">
        <v>3400</v>
      </c>
      <c r="C4650" t="s">
        <v>3401</v>
      </c>
      <c r="D4650" t="str">
        <f>HYPERLINK("https://rhld.insurance.arkansas.gov/NPILookup?Npi=1891816153","1891816153")</f>
        <v>1891816153</v>
      </c>
      <c r="E4650" t="s">
        <v>4076</v>
      </c>
      <c r="F4650" t="s">
        <v>13</v>
      </c>
      <c r="G4650" s="20">
        <v>1</v>
      </c>
      <c r="H4650" t="s">
        <v>3403</v>
      </c>
      <c r="I4650" t="s">
        <v>32</v>
      </c>
      <c r="J4650" s="9">
        <v>54321</v>
      </c>
      <c r="K4650" s="9" t="s">
        <v>23</v>
      </c>
      <c r="L4650" s="9"/>
    </row>
    <row r="4651" spans="2:12" ht="15" x14ac:dyDescent="0.25">
      <c r="B4651" t="s">
        <v>3400</v>
      </c>
      <c r="C4651" t="s">
        <v>3401</v>
      </c>
      <c r="D4651" t="str">
        <f>HYPERLINK("https://rhld.insurance.arkansas.gov/NPILookup?Npi=1891821153","1891821153")</f>
        <v>1891821153</v>
      </c>
      <c r="E4651" t="s">
        <v>3268</v>
      </c>
      <c r="F4651" t="s">
        <v>13</v>
      </c>
      <c r="G4651" s="20">
        <v>1</v>
      </c>
      <c r="H4651" t="s">
        <v>4357</v>
      </c>
      <c r="I4651" t="s">
        <v>4357</v>
      </c>
      <c r="J4651" s="9">
        <v>54321</v>
      </c>
      <c r="K4651" s="9" t="s">
        <v>23</v>
      </c>
      <c r="L4651" s="9"/>
    </row>
    <row r="4652" spans="2:12" ht="15" x14ac:dyDescent="0.25">
      <c r="B4652" t="s">
        <v>3400</v>
      </c>
      <c r="C4652" t="s">
        <v>3401</v>
      </c>
      <c r="D4652" t="str">
        <f>HYPERLINK("https://rhld.insurance.arkansas.gov/NPILookup?Npi=1891880555","1891880555")</f>
        <v>1891880555</v>
      </c>
      <c r="E4652" t="s">
        <v>890</v>
      </c>
      <c r="F4652" t="s">
        <v>13</v>
      </c>
      <c r="G4652" s="20">
        <v>1</v>
      </c>
      <c r="H4652" t="s">
        <v>3403</v>
      </c>
      <c r="I4652" t="s">
        <v>32</v>
      </c>
      <c r="J4652" s="9">
        <v>54321</v>
      </c>
      <c r="K4652" s="9" t="s">
        <v>23</v>
      </c>
      <c r="L4652" s="9"/>
    </row>
    <row r="4653" spans="2:12" ht="15" x14ac:dyDescent="0.25">
      <c r="B4653" t="s">
        <v>3400</v>
      </c>
      <c r="C4653" t="s">
        <v>3401</v>
      </c>
      <c r="D4653" t="str">
        <f>HYPERLINK("https://rhld.insurance.arkansas.gov/NPILookup?Npi=1891893020","1891893020")</f>
        <v>1891893020</v>
      </c>
      <c r="E4653" t="s">
        <v>4077</v>
      </c>
      <c r="F4653" t="s">
        <v>12</v>
      </c>
      <c r="G4653" s="20">
        <v>1</v>
      </c>
      <c r="H4653" t="s">
        <v>4338</v>
      </c>
      <c r="I4653" t="s">
        <v>4357</v>
      </c>
      <c r="J4653" s="9">
        <v>54321</v>
      </c>
      <c r="K4653" s="9" t="s">
        <v>23</v>
      </c>
      <c r="L4653" s="9"/>
    </row>
    <row r="4654" spans="2:12" ht="15" x14ac:dyDescent="0.25">
      <c r="B4654" t="s">
        <v>3400</v>
      </c>
      <c r="C4654" t="s">
        <v>3401</v>
      </c>
      <c r="D4654" t="str">
        <f>HYPERLINK("https://rhld.insurance.arkansas.gov/NPILookup?Npi=1902343932","1902343932")</f>
        <v>1902343932</v>
      </c>
      <c r="E4654" t="s">
        <v>4078</v>
      </c>
      <c r="F4654" t="s">
        <v>13</v>
      </c>
      <c r="G4654" s="20">
        <v>1</v>
      </c>
      <c r="H4654" t="s">
        <v>3403</v>
      </c>
      <c r="I4654" t="s">
        <v>32</v>
      </c>
      <c r="J4654" s="9">
        <v>54321</v>
      </c>
      <c r="K4654" s="9" t="s">
        <v>23</v>
      </c>
      <c r="L4654" s="9"/>
    </row>
    <row r="4655" spans="2:12" ht="15" x14ac:dyDescent="0.25">
      <c r="B4655" t="s">
        <v>3400</v>
      </c>
      <c r="C4655" t="s">
        <v>3401</v>
      </c>
      <c r="D4655" t="str">
        <f>HYPERLINK("https://rhld.insurance.arkansas.gov/NPILookup?Npi=1902483969","1902483969")</f>
        <v>1902483969</v>
      </c>
      <c r="E4655" t="s">
        <v>3273</v>
      </c>
      <c r="F4655" t="s">
        <v>13</v>
      </c>
      <c r="G4655" s="20">
        <v>1</v>
      </c>
      <c r="H4655" t="s">
        <v>3403</v>
      </c>
      <c r="I4655" t="s">
        <v>4357</v>
      </c>
      <c r="J4655" s="9">
        <v>54321</v>
      </c>
      <c r="K4655" s="9" t="s">
        <v>23</v>
      </c>
      <c r="L4655" s="9"/>
    </row>
    <row r="4656" spans="2:12" ht="15" x14ac:dyDescent="0.25">
      <c r="B4656" t="s">
        <v>3400</v>
      </c>
      <c r="C4656" t="s">
        <v>3401</v>
      </c>
      <c r="D4656" t="str">
        <f>HYPERLINK("https://rhld.insurance.arkansas.gov/NPILookup?Npi=1902485360","1902485360")</f>
        <v>1902485360</v>
      </c>
      <c r="E4656" t="s">
        <v>4079</v>
      </c>
      <c r="F4656" t="s">
        <v>13</v>
      </c>
      <c r="G4656" s="20">
        <v>1</v>
      </c>
      <c r="H4656" t="s">
        <v>4357</v>
      </c>
      <c r="I4656" t="s">
        <v>4357</v>
      </c>
      <c r="J4656" s="9">
        <v>54321</v>
      </c>
      <c r="K4656" s="9" t="s">
        <v>23</v>
      </c>
      <c r="L4656" s="9"/>
    </row>
    <row r="4657" spans="2:12" ht="15" x14ac:dyDescent="0.25">
      <c r="B4657" t="s">
        <v>3400</v>
      </c>
      <c r="C4657" t="s">
        <v>3401</v>
      </c>
      <c r="D4657" t="str">
        <f>HYPERLINK("https://rhld.insurance.arkansas.gov/NPILookup?Npi=1902487192","1902487192")</f>
        <v>1902487192</v>
      </c>
      <c r="E4657" t="s">
        <v>4080</v>
      </c>
      <c r="F4657" t="s">
        <v>13</v>
      </c>
      <c r="G4657" s="20">
        <v>1</v>
      </c>
      <c r="H4657" t="s">
        <v>3403</v>
      </c>
      <c r="I4657" t="s">
        <v>4357</v>
      </c>
      <c r="J4657" s="9">
        <v>54321</v>
      </c>
      <c r="K4657" s="9" t="s">
        <v>23</v>
      </c>
      <c r="L4657" s="9"/>
    </row>
    <row r="4658" spans="2:12" ht="15" x14ac:dyDescent="0.25">
      <c r="B4658" t="s">
        <v>3400</v>
      </c>
      <c r="C4658" t="s">
        <v>3401</v>
      </c>
      <c r="D4658" t="str">
        <f>HYPERLINK("https://rhld.insurance.arkansas.gov/NPILookup?Npi=1902542848","1902542848")</f>
        <v>1902542848</v>
      </c>
      <c r="E4658" t="s">
        <v>4081</v>
      </c>
      <c r="F4658" t="s">
        <v>13</v>
      </c>
      <c r="G4658" s="20">
        <v>1</v>
      </c>
      <c r="H4658" t="s">
        <v>3403</v>
      </c>
      <c r="I4658" t="s">
        <v>4357</v>
      </c>
      <c r="J4658" s="9">
        <v>54321</v>
      </c>
      <c r="K4658" s="9" t="s">
        <v>23</v>
      </c>
      <c r="L4658" s="9"/>
    </row>
    <row r="4659" spans="2:12" ht="15" x14ac:dyDescent="0.25">
      <c r="B4659" t="s">
        <v>3400</v>
      </c>
      <c r="C4659" t="s">
        <v>3401</v>
      </c>
      <c r="D4659" t="str">
        <f>HYPERLINK("https://rhld.insurance.arkansas.gov/NPILookup?Npi=1902578669","1902578669")</f>
        <v>1902578669</v>
      </c>
      <c r="E4659" t="s">
        <v>4082</v>
      </c>
      <c r="F4659" t="s">
        <v>13</v>
      </c>
      <c r="G4659" s="20">
        <v>1</v>
      </c>
      <c r="H4659" t="s">
        <v>3403</v>
      </c>
      <c r="I4659" t="s">
        <v>4357</v>
      </c>
      <c r="J4659" s="9">
        <v>54321</v>
      </c>
      <c r="K4659" s="9" t="s">
        <v>23</v>
      </c>
      <c r="L4659" s="9"/>
    </row>
    <row r="4660" spans="2:12" ht="15" x14ac:dyDescent="0.25">
      <c r="B4660" t="s">
        <v>3400</v>
      </c>
      <c r="C4660" t="s">
        <v>3401</v>
      </c>
      <c r="D4660" t="str">
        <f>HYPERLINK("https://rhld.insurance.arkansas.gov/NPILookup?Npi=1902611718","1902611718")</f>
        <v>1902611718</v>
      </c>
      <c r="E4660" t="s">
        <v>2098</v>
      </c>
      <c r="F4660" t="s">
        <v>13</v>
      </c>
      <c r="G4660" s="20">
        <v>1</v>
      </c>
      <c r="H4660" t="s">
        <v>4357</v>
      </c>
      <c r="I4660" t="s">
        <v>4357</v>
      </c>
      <c r="J4660" s="9">
        <v>54321</v>
      </c>
      <c r="K4660" s="9" t="s">
        <v>23</v>
      </c>
      <c r="L4660" s="9"/>
    </row>
    <row r="4661" spans="2:12" ht="15" x14ac:dyDescent="0.25">
      <c r="B4661" t="s">
        <v>3400</v>
      </c>
      <c r="C4661" t="s">
        <v>3401</v>
      </c>
      <c r="D4661" t="str">
        <f>HYPERLINK("https://rhld.insurance.arkansas.gov/NPILookup?Npi=1902624299","1902624299")</f>
        <v>1902624299</v>
      </c>
      <c r="E4661" t="s">
        <v>3274</v>
      </c>
      <c r="F4661" t="s">
        <v>13</v>
      </c>
      <c r="G4661" s="20">
        <v>1</v>
      </c>
      <c r="H4661" t="s">
        <v>4357</v>
      </c>
      <c r="I4661" t="s">
        <v>4357</v>
      </c>
      <c r="J4661" s="9">
        <v>54321</v>
      </c>
      <c r="K4661" s="9" t="s">
        <v>23</v>
      </c>
      <c r="L4661" s="9"/>
    </row>
    <row r="4662" spans="2:12" ht="15" x14ac:dyDescent="0.25">
      <c r="B4662" t="s">
        <v>3400</v>
      </c>
      <c r="C4662" t="s">
        <v>3401</v>
      </c>
      <c r="D4662" t="str">
        <f>HYPERLINK("https://rhld.insurance.arkansas.gov/NPILookup?Npi=1902682552","1902682552")</f>
        <v>1902682552</v>
      </c>
      <c r="E4662" t="s">
        <v>4083</v>
      </c>
      <c r="F4662" t="s">
        <v>13</v>
      </c>
      <c r="G4662" s="20">
        <v>1</v>
      </c>
      <c r="H4662" t="s">
        <v>3403</v>
      </c>
      <c r="I4662" t="s">
        <v>32</v>
      </c>
      <c r="J4662" s="9">
        <v>54321</v>
      </c>
      <c r="K4662" s="9" t="s">
        <v>4641</v>
      </c>
      <c r="L4662" s="9"/>
    </row>
    <row r="4663" spans="2:12" ht="15" x14ac:dyDescent="0.25">
      <c r="B4663" t="s">
        <v>3400</v>
      </c>
      <c r="C4663" t="s">
        <v>3401</v>
      </c>
      <c r="D4663" t="str">
        <f>HYPERLINK("https://rhld.insurance.arkansas.gov/NPILookup?Npi=1902824162","1902824162")</f>
        <v>1902824162</v>
      </c>
      <c r="E4663" t="s">
        <v>4084</v>
      </c>
      <c r="F4663" t="s">
        <v>13</v>
      </c>
      <c r="G4663" s="20">
        <v>1</v>
      </c>
      <c r="H4663" t="s">
        <v>3403</v>
      </c>
      <c r="I4663" t="s">
        <v>32</v>
      </c>
      <c r="J4663" s="9">
        <v>54321</v>
      </c>
      <c r="K4663" s="9" t="s">
        <v>23</v>
      </c>
      <c r="L4663" s="9"/>
    </row>
    <row r="4664" spans="2:12" ht="15" x14ac:dyDescent="0.25">
      <c r="B4664" t="s">
        <v>3400</v>
      </c>
      <c r="C4664" t="s">
        <v>3401</v>
      </c>
      <c r="D4664" t="str">
        <f>HYPERLINK("https://rhld.insurance.arkansas.gov/NPILookup?Npi=1902867070","1902867070")</f>
        <v>1902867070</v>
      </c>
      <c r="E4664" t="s">
        <v>4085</v>
      </c>
      <c r="F4664" t="s">
        <v>13</v>
      </c>
      <c r="G4664" s="20">
        <v>1</v>
      </c>
      <c r="H4664" t="s">
        <v>3403</v>
      </c>
      <c r="I4664" t="s">
        <v>32</v>
      </c>
      <c r="J4664" s="9">
        <v>54321</v>
      </c>
      <c r="K4664" s="9" t="s">
        <v>23</v>
      </c>
      <c r="L4664" s="9"/>
    </row>
    <row r="4665" spans="2:12" ht="15" x14ac:dyDescent="0.25">
      <c r="B4665" t="s">
        <v>3400</v>
      </c>
      <c r="C4665" t="s">
        <v>3401</v>
      </c>
      <c r="D4665" t="str">
        <f>HYPERLINK("https://rhld.insurance.arkansas.gov/NPILookup?Npi=1912252354","1912252354")</f>
        <v>1912252354</v>
      </c>
      <c r="E4665" t="s">
        <v>3282</v>
      </c>
      <c r="F4665" t="s">
        <v>13</v>
      </c>
      <c r="G4665" s="20">
        <v>1</v>
      </c>
      <c r="H4665" t="s">
        <v>3403</v>
      </c>
      <c r="I4665" t="s">
        <v>4357</v>
      </c>
      <c r="J4665" s="9">
        <v>54321</v>
      </c>
      <c r="K4665" s="9" t="s">
        <v>23</v>
      </c>
      <c r="L4665" s="9"/>
    </row>
    <row r="4666" spans="2:12" ht="15" x14ac:dyDescent="0.25">
      <c r="B4666" t="s">
        <v>3400</v>
      </c>
      <c r="C4666" t="s">
        <v>3401</v>
      </c>
      <c r="D4666" t="str">
        <f>HYPERLINK("https://rhld.insurance.arkansas.gov/NPILookup?Npi=1912299967","1912299967")</f>
        <v>1912299967</v>
      </c>
      <c r="E4666" t="s">
        <v>1101</v>
      </c>
      <c r="F4666" t="s">
        <v>12</v>
      </c>
      <c r="G4666" s="20">
        <v>1</v>
      </c>
      <c r="H4666" t="s">
        <v>4338</v>
      </c>
      <c r="I4666" t="s">
        <v>4357</v>
      </c>
      <c r="J4666" s="9">
        <v>54321</v>
      </c>
      <c r="K4666" s="9" t="s">
        <v>23</v>
      </c>
      <c r="L4666" s="9"/>
    </row>
    <row r="4667" spans="2:12" ht="15" x14ac:dyDescent="0.25">
      <c r="B4667" t="s">
        <v>3400</v>
      </c>
      <c r="C4667" t="s">
        <v>3401</v>
      </c>
      <c r="D4667" t="str">
        <f>HYPERLINK("https://rhld.insurance.arkansas.gov/NPILookup?Npi=1912489774","1912489774")</f>
        <v>1912489774</v>
      </c>
      <c r="E4667" t="s">
        <v>3285</v>
      </c>
      <c r="F4667" t="s">
        <v>13</v>
      </c>
      <c r="G4667" s="20">
        <v>1</v>
      </c>
      <c r="H4667" t="s">
        <v>3403</v>
      </c>
      <c r="I4667" t="s">
        <v>4357</v>
      </c>
      <c r="J4667" s="9">
        <v>54321</v>
      </c>
      <c r="K4667" s="9" t="s">
        <v>23</v>
      </c>
      <c r="L4667" s="9"/>
    </row>
    <row r="4668" spans="2:12" ht="15" x14ac:dyDescent="0.25">
      <c r="B4668" t="s">
        <v>3400</v>
      </c>
      <c r="C4668" t="s">
        <v>3401</v>
      </c>
      <c r="D4668" t="str">
        <f>HYPERLINK("https://rhld.insurance.arkansas.gov/NPILookup?Npi=1912507419","1912507419")</f>
        <v>1912507419</v>
      </c>
      <c r="E4668" t="s">
        <v>4086</v>
      </c>
      <c r="F4668" t="s">
        <v>13</v>
      </c>
      <c r="G4668" s="20">
        <v>1</v>
      </c>
      <c r="H4668" t="s">
        <v>3403</v>
      </c>
      <c r="I4668" t="s">
        <v>4357</v>
      </c>
      <c r="J4668" s="9">
        <v>54321</v>
      </c>
      <c r="K4668" s="9" t="s">
        <v>23</v>
      </c>
      <c r="L4668" s="9"/>
    </row>
    <row r="4669" spans="2:12" ht="15" x14ac:dyDescent="0.25">
      <c r="B4669" t="s">
        <v>3400</v>
      </c>
      <c r="C4669" t="s">
        <v>3401</v>
      </c>
      <c r="D4669" t="str">
        <f>HYPERLINK("https://rhld.insurance.arkansas.gov/NPILookup?Npi=1912527078","1912527078")</f>
        <v>1912527078</v>
      </c>
      <c r="E4669" t="s">
        <v>4087</v>
      </c>
      <c r="F4669" t="s">
        <v>13</v>
      </c>
      <c r="G4669" s="20">
        <v>1</v>
      </c>
      <c r="H4669" t="s">
        <v>3403</v>
      </c>
      <c r="I4669" t="s">
        <v>4357</v>
      </c>
      <c r="J4669" s="9">
        <v>54321</v>
      </c>
      <c r="K4669" s="9" t="s">
        <v>23</v>
      </c>
      <c r="L4669" s="9"/>
    </row>
    <row r="4670" spans="2:12" ht="15" x14ac:dyDescent="0.25">
      <c r="B4670" t="s">
        <v>3400</v>
      </c>
      <c r="C4670" t="s">
        <v>3401</v>
      </c>
      <c r="D4670" t="str">
        <f>HYPERLINK("https://rhld.insurance.arkansas.gov/NPILookup?Npi=1912562489","1912562489")</f>
        <v>1912562489</v>
      </c>
      <c r="E4670" t="s">
        <v>3288</v>
      </c>
      <c r="F4670" t="s">
        <v>13</v>
      </c>
      <c r="G4670" s="20">
        <v>1</v>
      </c>
      <c r="H4670" t="s">
        <v>3403</v>
      </c>
      <c r="I4670" t="s">
        <v>4357</v>
      </c>
      <c r="J4670" s="9">
        <v>54321</v>
      </c>
      <c r="K4670" s="9" t="s">
        <v>23</v>
      </c>
      <c r="L4670" s="9"/>
    </row>
    <row r="4671" spans="2:12" ht="15" x14ac:dyDescent="0.25">
      <c r="B4671" t="s">
        <v>3400</v>
      </c>
      <c r="C4671" t="s">
        <v>3401</v>
      </c>
      <c r="D4671" t="str">
        <f>HYPERLINK("https://rhld.insurance.arkansas.gov/NPILookup?Npi=1912586926","1912586926")</f>
        <v>1912586926</v>
      </c>
      <c r="E4671" t="s">
        <v>4088</v>
      </c>
      <c r="F4671" t="s">
        <v>13</v>
      </c>
      <c r="G4671" s="20">
        <v>1</v>
      </c>
      <c r="H4671" t="s">
        <v>3403</v>
      </c>
      <c r="I4671" t="s">
        <v>32</v>
      </c>
      <c r="J4671" s="9">
        <v>54321</v>
      </c>
      <c r="K4671" s="9" t="s">
        <v>23</v>
      </c>
      <c r="L4671" s="9"/>
    </row>
    <row r="4672" spans="2:12" ht="15" x14ac:dyDescent="0.25">
      <c r="B4672" t="s">
        <v>3400</v>
      </c>
      <c r="C4672" t="s">
        <v>3401</v>
      </c>
      <c r="D4672" t="str">
        <f>HYPERLINK("https://rhld.insurance.arkansas.gov/NPILookup?Npi=1912595547","1912595547")</f>
        <v>1912595547</v>
      </c>
      <c r="E4672" t="s">
        <v>4089</v>
      </c>
      <c r="F4672" t="s">
        <v>13</v>
      </c>
      <c r="G4672" s="20">
        <v>1</v>
      </c>
      <c r="H4672" t="s">
        <v>3403</v>
      </c>
      <c r="I4672" t="s">
        <v>4357</v>
      </c>
      <c r="J4672" s="9">
        <v>54321</v>
      </c>
      <c r="K4672" s="9" t="s">
        <v>23</v>
      </c>
      <c r="L4672" s="9"/>
    </row>
    <row r="4673" spans="2:12" ht="15" x14ac:dyDescent="0.25">
      <c r="B4673" t="s">
        <v>3400</v>
      </c>
      <c r="C4673" t="s">
        <v>3401</v>
      </c>
      <c r="D4673" t="str">
        <f>HYPERLINK("https://rhld.insurance.arkansas.gov/NPILookup?Npi=1912691544","1912691544")</f>
        <v>1912691544</v>
      </c>
      <c r="E4673" t="s">
        <v>4090</v>
      </c>
      <c r="F4673" t="s">
        <v>13</v>
      </c>
      <c r="G4673" s="20">
        <v>1</v>
      </c>
      <c r="H4673" t="s">
        <v>3403</v>
      </c>
      <c r="I4673" t="s">
        <v>32</v>
      </c>
      <c r="J4673" s="9">
        <v>54321</v>
      </c>
      <c r="K4673" s="9" t="s">
        <v>4639</v>
      </c>
      <c r="L4673" s="9"/>
    </row>
    <row r="4674" spans="2:12" ht="15" x14ac:dyDescent="0.25">
      <c r="B4674" t="s">
        <v>3400</v>
      </c>
      <c r="C4674" t="s">
        <v>3401</v>
      </c>
      <c r="D4674" t="str">
        <f>HYPERLINK("https://rhld.insurance.arkansas.gov/NPILookup?Npi=1912714304","1912714304")</f>
        <v>1912714304</v>
      </c>
      <c r="E4674" t="s">
        <v>2099</v>
      </c>
      <c r="F4674" t="s">
        <v>13</v>
      </c>
      <c r="G4674" s="20">
        <v>1</v>
      </c>
      <c r="H4674" t="s">
        <v>4357</v>
      </c>
      <c r="I4674" t="s">
        <v>4357</v>
      </c>
      <c r="J4674" s="9">
        <v>54321</v>
      </c>
      <c r="K4674" s="9" t="s">
        <v>4639</v>
      </c>
      <c r="L4674" s="9"/>
    </row>
    <row r="4675" spans="2:12" ht="15" x14ac:dyDescent="0.25">
      <c r="B4675" t="s">
        <v>3400</v>
      </c>
      <c r="C4675" t="s">
        <v>3401</v>
      </c>
      <c r="D4675" t="str">
        <f>HYPERLINK("https://rhld.insurance.arkansas.gov/NPILookup?Npi=1912752445","1912752445")</f>
        <v>1912752445</v>
      </c>
      <c r="E4675" t="s">
        <v>2100</v>
      </c>
      <c r="F4675" t="s">
        <v>13</v>
      </c>
      <c r="G4675" s="20">
        <v>1</v>
      </c>
      <c r="H4675" t="s">
        <v>4357</v>
      </c>
      <c r="I4675" t="s">
        <v>4357</v>
      </c>
      <c r="J4675" s="9">
        <v>54321</v>
      </c>
      <c r="K4675" s="9" t="s">
        <v>23</v>
      </c>
      <c r="L4675" s="9"/>
    </row>
    <row r="4676" spans="2:12" ht="15" x14ac:dyDescent="0.25">
      <c r="B4676" t="s">
        <v>3400</v>
      </c>
      <c r="C4676" t="s">
        <v>3401</v>
      </c>
      <c r="D4676" t="str">
        <f>HYPERLINK("https://rhld.insurance.arkansas.gov/NPILookup?Npi=1912919234","1912919234")</f>
        <v>1912919234</v>
      </c>
      <c r="E4676" t="s">
        <v>3290</v>
      </c>
      <c r="F4676" t="s">
        <v>13</v>
      </c>
      <c r="G4676" s="20">
        <v>1</v>
      </c>
      <c r="H4676" t="s">
        <v>3403</v>
      </c>
      <c r="I4676" t="s">
        <v>4357</v>
      </c>
      <c r="J4676" s="9">
        <v>54321</v>
      </c>
      <c r="K4676" s="9" t="s">
        <v>23</v>
      </c>
      <c r="L4676" s="9"/>
    </row>
    <row r="4677" spans="2:12" ht="15" x14ac:dyDescent="0.25">
      <c r="B4677" t="s">
        <v>3400</v>
      </c>
      <c r="C4677" t="s">
        <v>3401</v>
      </c>
      <c r="D4677" t="str">
        <f>HYPERLINK("https://rhld.insurance.arkansas.gov/NPILookup?Npi=1922005974","1922005974")</f>
        <v>1922005974</v>
      </c>
      <c r="E4677" t="s">
        <v>4091</v>
      </c>
      <c r="F4677" t="s">
        <v>12</v>
      </c>
      <c r="G4677" s="20">
        <v>1</v>
      </c>
      <c r="H4677" t="s">
        <v>4338</v>
      </c>
      <c r="I4677" t="s">
        <v>32</v>
      </c>
      <c r="J4677" s="9">
        <v>54321</v>
      </c>
      <c r="K4677" s="9" t="s">
        <v>23</v>
      </c>
      <c r="L4677" s="9"/>
    </row>
    <row r="4678" spans="2:12" ht="15" x14ac:dyDescent="0.25">
      <c r="B4678" t="s">
        <v>3400</v>
      </c>
      <c r="C4678" t="s">
        <v>3401</v>
      </c>
      <c r="D4678" t="str">
        <f>HYPERLINK("https://rhld.insurance.arkansas.gov/NPILookup?Npi=1922116284","1922116284")</f>
        <v>1922116284</v>
      </c>
      <c r="E4678" t="s">
        <v>3292</v>
      </c>
      <c r="F4678" t="s">
        <v>12</v>
      </c>
      <c r="G4678" s="20">
        <v>1</v>
      </c>
      <c r="H4678" t="s">
        <v>4338</v>
      </c>
      <c r="I4678" t="s">
        <v>4357</v>
      </c>
      <c r="J4678" s="9">
        <v>54321</v>
      </c>
      <c r="K4678" s="9" t="s">
        <v>23</v>
      </c>
      <c r="L4678" s="9"/>
    </row>
    <row r="4679" spans="2:12" ht="15" x14ac:dyDescent="0.25">
      <c r="B4679" t="s">
        <v>3400</v>
      </c>
      <c r="C4679" t="s">
        <v>3401</v>
      </c>
      <c r="D4679" t="str">
        <f>HYPERLINK("https://rhld.insurance.arkansas.gov/NPILookup?Npi=1922122530","1922122530")</f>
        <v>1922122530</v>
      </c>
      <c r="E4679" t="s">
        <v>4092</v>
      </c>
      <c r="F4679" t="s">
        <v>13</v>
      </c>
      <c r="G4679" s="20">
        <v>1</v>
      </c>
      <c r="H4679" t="s">
        <v>3403</v>
      </c>
      <c r="I4679" t="s">
        <v>32</v>
      </c>
      <c r="J4679" s="9">
        <v>54321</v>
      </c>
      <c r="K4679" s="9" t="s">
        <v>4639</v>
      </c>
      <c r="L4679" s="9"/>
    </row>
    <row r="4680" spans="2:12" ht="15" x14ac:dyDescent="0.25">
      <c r="B4680" t="s">
        <v>3400</v>
      </c>
      <c r="C4680" t="s">
        <v>3401</v>
      </c>
      <c r="D4680" t="str">
        <f>HYPERLINK("https://rhld.insurance.arkansas.gov/NPILookup?Npi=1922305051","1922305051")</f>
        <v>1922305051</v>
      </c>
      <c r="E4680" t="s">
        <v>4093</v>
      </c>
      <c r="F4680" t="s">
        <v>13</v>
      </c>
      <c r="G4680" s="20">
        <v>1</v>
      </c>
      <c r="H4680" t="s">
        <v>3403</v>
      </c>
      <c r="I4680" t="s">
        <v>32</v>
      </c>
      <c r="J4680" s="9">
        <v>54321</v>
      </c>
      <c r="K4680" s="9" t="s">
        <v>23</v>
      </c>
      <c r="L4680" s="9"/>
    </row>
    <row r="4681" spans="2:12" ht="15" x14ac:dyDescent="0.25">
      <c r="B4681" t="s">
        <v>3400</v>
      </c>
      <c r="C4681" t="s">
        <v>3401</v>
      </c>
      <c r="D4681" t="str">
        <f>HYPERLINK("https://rhld.insurance.arkansas.gov/NPILookup?Npi=1922363175","1922363175")</f>
        <v>1922363175</v>
      </c>
      <c r="E4681" t="s">
        <v>3295</v>
      </c>
      <c r="F4681" t="s">
        <v>13</v>
      </c>
      <c r="G4681" s="20">
        <v>1</v>
      </c>
      <c r="H4681" t="s">
        <v>3403</v>
      </c>
      <c r="I4681" t="s">
        <v>32</v>
      </c>
      <c r="J4681" s="9">
        <v>54321</v>
      </c>
      <c r="K4681" s="9" t="s">
        <v>23</v>
      </c>
      <c r="L4681" s="9"/>
    </row>
    <row r="4682" spans="2:12" ht="15" x14ac:dyDescent="0.25">
      <c r="B4682" t="s">
        <v>3400</v>
      </c>
      <c r="C4682" t="s">
        <v>3401</v>
      </c>
      <c r="D4682" t="str">
        <f>HYPERLINK("https://rhld.insurance.arkansas.gov/NPILookup?Npi=1922372952","1922372952")</f>
        <v>1922372952</v>
      </c>
      <c r="E4682" t="s">
        <v>4094</v>
      </c>
      <c r="F4682" t="s">
        <v>13</v>
      </c>
      <c r="G4682" s="20">
        <v>1</v>
      </c>
      <c r="H4682" t="s">
        <v>3403</v>
      </c>
      <c r="I4682" t="s">
        <v>32</v>
      </c>
      <c r="J4682" s="9">
        <v>54321</v>
      </c>
      <c r="K4682" s="9" t="s">
        <v>23</v>
      </c>
      <c r="L4682" s="9"/>
    </row>
    <row r="4683" spans="2:12" ht="15" x14ac:dyDescent="0.25">
      <c r="B4683" t="s">
        <v>3400</v>
      </c>
      <c r="C4683" t="s">
        <v>3401</v>
      </c>
      <c r="D4683" t="str">
        <f>HYPERLINK("https://rhld.insurance.arkansas.gov/NPILookup?Npi=1922460658","1922460658")</f>
        <v>1922460658</v>
      </c>
      <c r="E4683" t="s">
        <v>4095</v>
      </c>
      <c r="F4683" t="s">
        <v>12</v>
      </c>
      <c r="G4683" s="20">
        <v>1</v>
      </c>
      <c r="H4683" t="s">
        <v>4338</v>
      </c>
      <c r="I4683" t="s">
        <v>32</v>
      </c>
      <c r="J4683" s="9">
        <v>54321</v>
      </c>
      <c r="K4683" s="9" t="s">
        <v>23</v>
      </c>
      <c r="L4683" s="9"/>
    </row>
    <row r="4684" spans="2:12" ht="15" x14ac:dyDescent="0.25">
      <c r="B4684" t="s">
        <v>3400</v>
      </c>
      <c r="C4684" t="s">
        <v>3401</v>
      </c>
      <c r="D4684" t="str">
        <f>HYPERLINK("https://rhld.insurance.arkansas.gov/NPILookup?Npi=1922461698","1922461698")</f>
        <v>1922461698</v>
      </c>
      <c r="E4684" t="s">
        <v>4096</v>
      </c>
      <c r="F4684" t="s">
        <v>13</v>
      </c>
      <c r="G4684" s="20">
        <v>1</v>
      </c>
      <c r="H4684" t="s">
        <v>3403</v>
      </c>
      <c r="I4684" t="s">
        <v>32</v>
      </c>
      <c r="J4684" s="9">
        <v>54321</v>
      </c>
      <c r="K4684" s="9" t="s">
        <v>23</v>
      </c>
      <c r="L4684" s="9"/>
    </row>
    <row r="4685" spans="2:12" ht="15" x14ac:dyDescent="0.25">
      <c r="B4685" t="s">
        <v>3400</v>
      </c>
      <c r="C4685" t="s">
        <v>3401</v>
      </c>
      <c r="D4685" t="str">
        <f>HYPERLINK("https://rhld.insurance.arkansas.gov/NPILookup?Npi=1922492859","1922492859")</f>
        <v>1922492859</v>
      </c>
      <c r="E4685" t="s">
        <v>4097</v>
      </c>
      <c r="F4685" t="s">
        <v>13</v>
      </c>
      <c r="G4685" s="20">
        <v>1</v>
      </c>
      <c r="H4685" t="s">
        <v>3403</v>
      </c>
      <c r="I4685" t="s">
        <v>32</v>
      </c>
      <c r="J4685" s="9">
        <v>54321</v>
      </c>
      <c r="K4685" s="9" t="s">
        <v>23</v>
      </c>
      <c r="L4685" s="9"/>
    </row>
    <row r="4686" spans="2:12" ht="15" x14ac:dyDescent="0.25">
      <c r="B4686" t="s">
        <v>3400</v>
      </c>
      <c r="C4686" t="s">
        <v>3401</v>
      </c>
      <c r="D4686" t="str">
        <f>HYPERLINK("https://rhld.insurance.arkansas.gov/NPILookup?Npi=1922611854","1922611854")</f>
        <v>1922611854</v>
      </c>
      <c r="E4686" t="s">
        <v>3300</v>
      </c>
      <c r="F4686" t="s">
        <v>13</v>
      </c>
      <c r="G4686" s="20">
        <v>1</v>
      </c>
      <c r="H4686" t="s">
        <v>3403</v>
      </c>
      <c r="I4686" t="s">
        <v>4357</v>
      </c>
      <c r="J4686" s="9">
        <v>54321</v>
      </c>
      <c r="K4686" s="9" t="s">
        <v>23</v>
      </c>
      <c r="L4686" s="9"/>
    </row>
    <row r="4687" spans="2:12" ht="15" x14ac:dyDescent="0.25">
      <c r="B4687" t="s">
        <v>3400</v>
      </c>
      <c r="C4687" t="s">
        <v>3401</v>
      </c>
      <c r="D4687" t="str">
        <f>HYPERLINK("https://rhld.insurance.arkansas.gov/NPILookup?Npi=1922631753","1922631753")</f>
        <v>1922631753</v>
      </c>
      <c r="E4687" t="s">
        <v>1963</v>
      </c>
      <c r="F4687" t="s">
        <v>13</v>
      </c>
      <c r="G4687" s="20">
        <v>1</v>
      </c>
      <c r="H4687" t="s">
        <v>3403</v>
      </c>
      <c r="I4687" t="s">
        <v>32</v>
      </c>
      <c r="J4687" s="9">
        <v>54321</v>
      </c>
      <c r="K4687" s="9" t="s">
        <v>23</v>
      </c>
      <c r="L4687" s="9"/>
    </row>
    <row r="4688" spans="2:12" ht="15" x14ac:dyDescent="0.25">
      <c r="B4688" t="s">
        <v>3400</v>
      </c>
      <c r="C4688" t="s">
        <v>3401</v>
      </c>
      <c r="D4688" t="str">
        <f>HYPERLINK("https://rhld.insurance.arkansas.gov/NPILookup?Npi=1922677822","1922677822")</f>
        <v>1922677822</v>
      </c>
      <c r="E4688" t="s">
        <v>3305</v>
      </c>
      <c r="F4688" t="s">
        <v>13</v>
      </c>
      <c r="G4688" s="20">
        <v>1</v>
      </c>
      <c r="H4688" t="s">
        <v>3403</v>
      </c>
      <c r="I4688" t="s">
        <v>4357</v>
      </c>
      <c r="J4688" s="9">
        <v>54321</v>
      </c>
      <c r="K4688" s="9" t="s">
        <v>22</v>
      </c>
      <c r="L4688" s="9" t="s">
        <v>4640</v>
      </c>
    </row>
    <row r="4689" spans="2:12" ht="15" x14ac:dyDescent="0.25">
      <c r="B4689" t="s">
        <v>3400</v>
      </c>
      <c r="C4689" t="s">
        <v>3401</v>
      </c>
      <c r="D4689" t="str">
        <f>HYPERLINK("https://rhld.insurance.arkansas.gov/NPILookup?Npi=1922749571","1922749571")</f>
        <v>1922749571</v>
      </c>
      <c r="E4689" t="s">
        <v>4098</v>
      </c>
      <c r="F4689" t="s">
        <v>13</v>
      </c>
      <c r="G4689" s="20">
        <v>1</v>
      </c>
      <c r="H4689" t="s">
        <v>3403</v>
      </c>
      <c r="I4689" t="s">
        <v>4357</v>
      </c>
      <c r="J4689" s="9">
        <v>54321</v>
      </c>
      <c r="K4689" s="9" t="s">
        <v>23</v>
      </c>
      <c r="L4689" s="9"/>
    </row>
    <row r="4690" spans="2:12" ht="15" x14ac:dyDescent="0.25">
      <c r="B4690" t="s">
        <v>3400</v>
      </c>
      <c r="C4690" t="s">
        <v>3401</v>
      </c>
      <c r="D4690" t="str">
        <f>HYPERLINK("https://rhld.insurance.arkansas.gov/NPILookup?Npi=1922755180","1922755180")</f>
        <v>1922755180</v>
      </c>
      <c r="E4690" t="s">
        <v>4099</v>
      </c>
      <c r="F4690" t="s">
        <v>13</v>
      </c>
      <c r="G4690" s="20">
        <v>1</v>
      </c>
      <c r="H4690" t="s">
        <v>3403</v>
      </c>
      <c r="I4690" t="s">
        <v>32</v>
      </c>
      <c r="J4690" s="9">
        <v>54321</v>
      </c>
      <c r="K4690" s="9" t="s">
        <v>23</v>
      </c>
      <c r="L4690" s="9"/>
    </row>
    <row r="4691" spans="2:12" ht="15" x14ac:dyDescent="0.25">
      <c r="B4691" t="s">
        <v>3400</v>
      </c>
      <c r="C4691" t="s">
        <v>3401</v>
      </c>
      <c r="D4691" t="str">
        <f>HYPERLINK("https://rhld.insurance.arkansas.gov/NPILookup?Npi=1922875228","1922875228")</f>
        <v>1922875228</v>
      </c>
      <c r="E4691" t="s">
        <v>4100</v>
      </c>
      <c r="F4691" t="s">
        <v>13</v>
      </c>
      <c r="G4691" s="20">
        <v>1</v>
      </c>
      <c r="H4691" t="s">
        <v>3403</v>
      </c>
      <c r="I4691" t="s">
        <v>4357</v>
      </c>
      <c r="J4691" s="9">
        <v>54321</v>
      </c>
      <c r="K4691" s="9" t="s">
        <v>4639</v>
      </c>
      <c r="L4691" s="9"/>
    </row>
    <row r="4692" spans="2:12" ht="15" x14ac:dyDescent="0.25">
      <c r="B4692" t="s">
        <v>3400</v>
      </c>
      <c r="C4692" t="s">
        <v>3401</v>
      </c>
      <c r="D4692" t="str">
        <f>HYPERLINK("https://rhld.insurance.arkansas.gov/NPILookup?Npi=1932119377","1932119377")</f>
        <v>1932119377</v>
      </c>
      <c r="E4692" t="s">
        <v>4101</v>
      </c>
      <c r="F4692" t="s">
        <v>12</v>
      </c>
      <c r="G4692" s="20">
        <v>1</v>
      </c>
      <c r="H4692" t="s">
        <v>4338</v>
      </c>
      <c r="I4692" t="s">
        <v>32</v>
      </c>
      <c r="J4692" s="9">
        <v>54321</v>
      </c>
      <c r="K4692" s="9" t="s">
        <v>4641</v>
      </c>
      <c r="L4692" s="9"/>
    </row>
    <row r="4693" spans="2:12" ht="15" x14ac:dyDescent="0.25">
      <c r="B4693" t="s">
        <v>3400</v>
      </c>
      <c r="C4693" t="s">
        <v>3401</v>
      </c>
      <c r="D4693" t="str">
        <f>HYPERLINK("https://rhld.insurance.arkansas.gov/NPILookup?Npi=1932192556","1932192556")</f>
        <v>1932192556</v>
      </c>
      <c r="E4693" t="s">
        <v>3310</v>
      </c>
      <c r="F4693" t="s">
        <v>13</v>
      </c>
      <c r="G4693" s="20">
        <v>1</v>
      </c>
      <c r="H4693" t="s">
        <v>3403</v>
      </c>
      <c r="I4693" t="s">
        <v>4357</v>
      </c>
      <c r="J4693" s="9">
        <v>54321</v>
      </c>
      <c r="K4693" s="9" t="s">
        <v>23</v>
      </c>
      <c r="L4693" s="9"/>
    </row>
    <row r="4694" spans="2:12" ht="15" x14ac:dyDescent="0.25">
      <c r="B4694" t="s">
        <v>3400</v>
      </c>
      <c r="C4694" t="s">
        <v>3401</v>
      </c>
      <c r="D4694" t="str">
        <f>HYPERLINK("https://rhld.insurance.arkansas.gov/NPILookup?Npi=1932194974","1932194974")</f>
        <v>1932194974</v>
      </c>
      <c r="E4694" t="s">
        <v>4102</v>
      </c>
      <c r="F4694" t="s">
        <v>13</v>
      </c>
      <c r="G4694" s="20">
        <v>1</v>
      </c>
      <c r="H4694" t="s">
        <v>3403</v>
      </c>
      <c r="I4694" t="s">
        <v>32</v>
      </c>
      <c r="J4694" s="9">
        <v>54321</v>
      </c>
      <c r="K4694" s="9" t="s">
        <v>23</v>
      </c>
      <c r="L4694" s="9"/>
    </row>
    <row r="4695" spans="2:12" ht="15" x14ac:dyDescent="0.25">
      <c r="B4695" t="s">
        <v>3400</v>
      </c>
      <c r="C4695" t="s">
        <v>3401</v>
      </c>
      <c r="D4695" t="str">
        <f>HYPERLINK("https://rhld.insurance.arkansas.gov/NPILookup?Npi=1932196748","1932196748")</f>
        <v>1932196748</v>
      </c>
      <c r="E4695" t="s">
        <v>4103</v>
      </c>
      <c r="F4695" t="s">
        <v>12</v>
      </c>
      <c r="G4695" s="20">
        <v>1</v>
      </c>
      <c r="H4695" t="s">
        <v>4338</v>
      </c>
      <c r="I4695" t="s">
        <v>32</v>
      </c>
      <c r="J4695" s="9">
        <v>54321</v>
      </c>
      <c r="K4695" s="9" t="s">
        <v>4639</v>
      </c>
      <c r="L4695" s="9"/>
    </row>
    <row r="4696" spans="2:12" ht="15" x14ac:dyDescent="0.25">
      <c r="B4696" t="s">
        <v>3400</v>
      </c>
      <c r="C4696" t="s">
        <v>3401</v>
      </c>
      <c r="D4696" t="str">
        <f>HYPERLINK("https://rhld.insurance.arkansas.gov/NPILookup?Npi=1932496957","1932496957")</f>
        <v>1932496957</v>
      </c>
      <c r="E4696" t="s">
        <v>4104</v>
      </c>
      <c r="F4696" t="s">
        <v>12</v>
      </c>
      <c r="G4696" s="20">
        <v>1</v>
      </c>
      <c r="H4696" t="s">
        <v>4338</v>
      </c>
      <c r="I4696" t="s">
        <v>4357</v>
      </c>
      <c r="J4696" s="9">
        <v>54321</v>
      </c>
      <c r="K4696" s="9" t="s">
        <v>23</v>
      </c>
      <c r="L4696" s="9"/>
    </row>
    <row r="4697" spans="2:12" ht="15" x14ac:dyDescent="0.25">
      <c r="B4697" t="s">
        <v>3400</v>
      </c>
      <c r="C4697" t="s">
        <v>3401</v>
      </c>
      <c r="D4697" t="str">
        <f>HYPERLINK("https://rhld.insurance.arkansas.gov/NPILookup?Npi=1932532116","1932532116")</f>
        <v>1932532116</v>
      </c>
      <c r="E4697" t="s">
        <v>4105</v>
      </c>
      <c r="F4697" t="s">
        <v>13</v>
      </c>
      <c r="G4697" s="20">
        <v>1</v>
      </c>
      <c r="H4697" t="s">
        <v>3403</v>
      </c>
      <c r="I4697" t="s">
        <v>32</v>
      </c>
      <c r="J4697" s="9">
        <v>54321</v>
      </c>
      <c r="K4697" s="9" t="s">
        <v>23</v>
      </c>
      <c r="L4697" s="9"/>
    </row>
    <row r="4698" spans="2:12" ht="15" x14ac:dyDescent="0.25">
      <c r="B4698" t="s">
        <v>3400</v>
      </c>
      <c r="C4698" t="s">
        <v>3401</v>
      </c>
      <c r="D4698" t="str">
        <f>HYPERLINK("https://rhld.insurance.arkansas.gov/NPILookup?Npi=1932539418","1932539418")</f>
        <v>1932539418</v>
      </c>
      <c r="E4698" t="s">
        <v>2281</v>
      </c>
      <c r="F4698" t="s">
        <v>13</v>
      </c>
      <c r="G4698" s="20">
        <v>1</v>
      </c>
      <c r="H4698" t="s">
        <v>3403</v>
      </c>
      <c r="I4698" t="s">
        <v>32</v>
      </c>
      <c r="J4698" s="9">
        <v>54321</v>
      </c>
      <c r="K4698" s="9" t="s">
        <v>23</v>
      </c>
      <c r="L4698" s="9"/>
    </row>
    <row r="4699" spans="2:12" ht="15" x14ac:dyDescent="0.25">
      <c r="B4699" t="s">
        <v>3400</v>
      </c>
      <c r="C4699" t="s">
        <v>3401</v>
      </c>
      <c r="D4699" t="str">
        <f>HYPERLINK("https://rhld.insurance.arkansas.gov/NPILookup?Npi=1932605607","1932605607")</f>
        <v>1932605607</v>
      </c>
      <c r="E4699" t="s">
        <v>4106</v>
      </c>
      <c r="F4699" t="s">
        <v>12</v>
      </c>
      <c r="G4699" s="20">
        <v>1</v>
      </c>
      <c r="H4699" t="s">
        <v>4338</v>
      </c>
      <c r="I4699" t="s">
        <v>32</v>
      </c>
      <c r="J4699" s="9">
        <v>54321</v>
      </c>
      <c r="K4699" s="9" t="s">
        <v>23</v>
      </c>
      <c r="L4699" s="9"/>
    </row>
    <row r="4700" spans="2:12" ht="15" x14ac:dyDescent="0.25">
      <c r="B4700" t="s">
        <v>3400</v>
      </c>
      <c r="C4700" t="s">
        <v>3401</v>
      </c>
      <c r="D4700" t="str">
        <f>HYPERLINK("https://rhld.insurance.arkansas.gov/NPILookup?Npi=1932623360","1932623360")</f>
        <v>1932623360</v>
      </c>
      <c r="E4700" t="s">
        <v>4107</v>
      </c>
      <c r="F4700" t="s">
        <v>13</v>
      </c>
      <c r="G4700" s="20">
        <v>1</v>
      </c>
      <c r="H4700" t="s">
        <v>3403</v>
      </c>
      <c r="I4700" t="s">
        <v>32</v>
      </c>
      <c r="J4700" s="9">
        <v>54321</v>
      </c>
      <c r="K4700" s="9" t="s">
        <v>23</v>
      </c>
      <c r="L4700" s="9"/>
    </row>
    <row r="4701" spans="2:12" ht="15" x14ac:dyDescent="0.25">
      <c r="B4701" t="s">
        <v>3400</v>
      </c>
      <c r="C4701" t="s">
        <v>3401</v>
      </c>
      <c r="D4701" t="str">
        <f>HYPERLINK("https://rhld.insurance.arkansas.gov/NPILookup?Npi=1932741212","1932741212")</f>
        <v>1932741212</v>
      </c>
      <c r="E4701" t="s">
        <v>3316</v>
      </c>
      <c r="F4701" t="s">
        <v>13</v>
      </c>
      <c r="G4701" s="20">
        <v>1</v>
      </c>
      <c r="H4701" t="s">
        <v>4357</v>
      </c>
      <c r="I4701" t="s">
        <v>4357</v>
      </c>
      <c r="J4701" s="9">
        <v>54321</v>
      </c>
      <c r="K4701" s="9" t="s">
        <v>23</v>
      </c>
      <c r="L4701" s="9"/>
    </row>
    <row r="4702" spans="2:12" ht="15" x14ac:dyDescent="0.25">
      <c r="B4702" t="s">
        <v>3400</v>
      </c>
      <c r="C4702" t="s">
        <v>3401</v>
      </c>
      <c r="D4702" t="str">
        <f>HYPERLINK("https://rhld.insurance.arkansas.gov/NPILookup?Npi=1932830619","1932830619")</f>
        <v>1932830619</v>
      </c>
      <c r="E4702" t="s">
        <v>4108</v>
      </c>
      <c r="F4702" t="s">
        <v>13</v>
      </c>
      <c r="G4702" s="20">
        <v>1</v>
      </c>
      <c r="H4702" t="s">
        <v>3403</v>
      </c>
      <c r="I4702" t="s">
        <v>4357</v>
      </c>
      <c r="J4702" s="9">
        <v>54321</v>
      </c>
      <c r="K4702" s="9" t="s">
        <v>23</v>
      </c>
      <c r="L4702" s="9"/>
    </row>
    <row r="4703" spans="2:12" ht="15" x14ac:dyDescent="0.25">
      <c r="B4703" t="s">
        <v>3400</v>
      </c>
      <c r="C4703" t="s">
        <v>3401</v>
      </c>
      <c r="D4703" t="str">
        <f>HYPERLINK("https://rhld.insurance.arkansas.gov/NPILookup?Npi=1932910064","1932910064")</f>
        <v>1932910064</v>
      </c>
      <c r="E4703" t="s">
        <v>3318</v>
      </c>
      <c r="F4703" t="s">
        <v>13</v>
      </c>
      <c r="G4703" s="20">
        <v>1</v>
      </c>
      <c r="H4703" t="s">
        <v>4357</v>
      </c>
      <c r="I4703" t="s">
        <v>4357</v>
      </c>
      <c r="J4703" s="9">
        <v>54321</v>
      </c>
      <c r="K4703" s="9" t="s">
        <v>23</v>
      </c>
      <c r="L4703" s="9"/>
    </row>
    <row r="4704" spans="2:12" ht="15" x14ac:dyDescent="0.25">
      <c r="B4704" t="s">
        <v>3400</v>
      </c>
      <c r="C4704" t="s">
        <v>3401</v>
      </c>
      <c r="D4704" t="str">
        <f>HYPERLINK("https://rhld.insurance.arkansas.gov/NPILookup?Npi=1942083548","1942083548")</f>
        <v>1942083548</v>
      </c>
      <c r="E4704" t="s">
        <v>4109</v>
      </c>
      <c r="F4704" t="s">
        <v>13</v>
      </c>
      <c r="G4704" s="20">
        <v>1</v>
      </c>
      <c r="H4704" t="s">
        <v>3403</v>
      </c>
      <c r="I4704" t="s">
        <v>4357</v>
      </c>
      <c r="J4704" s="9">
        <v>54321</v>
      </c>
      <c r="K4704" s="9" t="s">
        <v>23</v>
      </c>
      <c r="L4704" s="9"/>
    </row>
    <row r="4705" spans="2:12" ht="15" x14ac:dyDescent="0.25">
      <c r="B4705" t="s">
        <v>3400</v>
      </c>
      <c r="C4705" t="s">
        <v>3401</v>
      </c>
      <c r="D4705" t="str">
        <f>HYPERLINK("https://rhld.insurance.arkansas.gov/NPILookup?Npi=1942208277","1942208277")</f>
        <v>1942208277</v>
      </c>
      <c r="E4705" t="s">
        <v>4110</v>
      </c>
      <c r="F4705" t="s">
        <v>13</v>
      </c>
      <c r="G4705" s="20">
        <v>1</v>
      </c>
      <c r="H4705" t="s">
        <v>3403</v>
      </c>
      <c r="I4705" t="s">
        <v>32</v>
      </c>
      <c r="J4705" s="9">
        <v>54321</v>
      </c>
      <c r="K4705" s="9" t="s">
        <v>23</v>
      </c>
      <c r="L4705" s="9"/>
    </row>
    <row r="4706" spans="2:12" ht="15" x14ac:dyDescent="0.25">
      <c r="B4706" t="s">
        <v>3400</v>
      </c>
      <c r="C4706" t="s">
        <v>3401</v>
      </c>
      <c r="D4706" t="str">
        <f>HYPERLINK("https://rhld.insurance.arkansas.gov/NPILookup?Npi=1942267513","1942267513")</f>
        <v>1942267513</v>
      </c>
      <c r="E4706" t="s">
        <v>4111</v>
      </c>
      <c r="F4706" t="s">
        <v>13</v>
      </c>
      <c r="G4706" s="20">
        <v>1</v>
      </c>
      <c r="H4706" t="s">
        <v>3403</v>
      </c>
      <c r="I4706" t="s">
        <v>32</v>
      </c>
      <c r="J4706" s="9">
        <v>54321</v>
      </c>
      <c r="K4706" s="9" t="s">
        <v>23</v>
      </c>
      <c r="L4706" s="9"/>
    </row>
    <row r="4707" spans="2:12" ht="15" x14ac:dyDescent="0.25">
      <c r="B4707" t="s">
        <v>3400</v>
      </c>
      <c r="C4707" t="s">
        <v>3401</v>
      </c>
      <c r="D4707" t="str">
        <f>HYPERLINK("https://rhld.insurance.arkansas.gov/NPILookup?Npi=1942308424","1942308424")</f>
        <v>1942308424</v>
      </c>
      <c r="E4707" t="s">
        <v>615</v>
      </c>
      <c r="F4707" t="s">
        <v>13</v>
      </c>
      <c r="G4707" s="20">
        <v>1</v>
      </c>
      <c r="H4707" t="s">
        <v>3403</v>
      </c>
      <c r="I4707" t="s">
        <v>32</v>
      </c>
      <c r="J4707" s="9">
        <v>54321</v>
      </c>
      <c r="K4707" s="9" t="s">
        <v>23</v>
      </c>
      <c r="L4707" s="9"/>
    </row>
    <row r="4708" spans="2:12" ht="15" x14ac:dyDescent="0.25">
      <c r="B4708" t="s">
        <v>3400</v>
      </c>
      <c r="C4708" t="s">
        <v>3401</v>
      </c>
      <c r="D4708" t="str">
        <f>HYPERLINK("https://rhld.insurance.arkansas.gov/NPILookup?Npi=1942695929","1942695929")</f>
        <v>1942695929</v>
      </c>
      <c r="E4708" t="s">
        <v>4112</v>
      </c>
      <c r="F4708" t="s">
        <v>13</v>
      </c>
      <c r="G4708" s="20">
        <v>1</v>
      </c>
      <c r="H4708" t="s">
        <v>3403</v>
      </c>
      <c r="I4708" t="s">
        <v>4357</v>
      </c>
      <c r="J4708" s="9">
        <v>54321</v>
      </c>
      <c r="K4708" s="9" t="s">
        <v>23</v>
      </c>
      <c r="L4708" s="9"/>
    </row>
    <row r="4709" spans="2:12" ht="15" x14ac:dyDescent="0.25">
      <c r="B4709" t="s">
        <v>3400</v>
      </c>
      <c r="C4709" t="s">
        <v>3401</v>
      </c>
      <c r="D4709" t="str">
        <f>HYPERLINK("https://rhld.insurance.arkansas.gov/NPILookup?Npi=1942741376","1942741376")</f>
        <v>1942741376</v>
      </c>
      <c r="E4709" t="s">
        <v>3325</v>
      </c>
      <c r="F4709" t="s">
        <v>13</v>
      </c>
      <c r="G4709" s="20">
        <v>1</v>
      </c>
      <c r="H4709" t="s">
        <v>4357</v>
      </c>
      <c r="I4709" t="s">
        <v>4357</v>
      </c>
      <c r="J4709" s="9">
        <v>54321</v>
      </c>
      <c r="K4709" s="9" t="s">
        <v>23</v>
      </c>
      <c r="L4709" s="9"/>
    </row>
    <row r="4710" spans="2:12" ht="15" x14ac:dyDescent="0.25">
      <c r="B4710" t="s">
        <v>3400</v>
      </c>
      <c r="C4710" t="s">
        <v>3401</v>
      </c>
      <c r="D4710" t="str">
        <f>HYPERLINK("https://rhld.insurance.arkansas.gov/NPILookup?Npi=1942825823","1942825823")</f>
        <v>1942825823</v>
      </c>
      <c r="E4710" t="s">
        <v>3326</v>
      </c>
      <c r="F4710" t="s">
        <v>13</v>
      </c>
      <c r="G4710" s="20">
        <v>1</v>
      </c>
      <c r="H4710" t="s">
        <v>3403</v>
      </c>
      <c r="I4710" t="s">
        <v>4357</v>
      </c>
      <c r="J4710" s="9">
        <v>54321</v>
      </c>
      <c r="K4710" s="9" t="s">
        <v>23</v>
      </c>
      <c r="L4710" s="9"/>
    </row>
    <row r="4711" spans="2:12" ht="15" x14ac:dyDescent="0.25">
      <c r="B4711" t="s">
        <v>3400</v>
      </c>
      <c r="C4711" t="s">
        <v>3401</v>
      </c>
      <c r="D4711" t="str">
        <f>HYPERLINK("https://rhld.insurance.arkansas.gov/NPILookup?Npi=1942922547","1942922547")</f>
        <v>1942922547</v>
      </c>
      <c r="E4711" t="s">
        <v>4113</v>
      </c>
      <c r="F4711" t="s">
        <v>13</v>
      </c>
      <c r="G4711" s="20">
        <v>1</v>
      </c>
      <c r="H4711" t="s">
        <v>3403</v>
      </c>
      <c r="I4711" t="s">
        <v>32</v>
      </c>
      <c r="J4711" s="9">
        <v>54321</v>
      </c>
      <c r="K4711" s="9" t="s">
        <v>23</v>
      </c>
      <c r="L4711" s="9"/>
    </row>
    <row r="4712" spans="2:12" ht="15" x14ac:dyDescent="0.25">
      <c r="B4712" t="s">
        <v>3400</v>
      </c>
      <c r="C4712" t="s">
        <v>3401</v>
      </c>
      <c r="D4712" t="str">
        <f>HYPERLINK("https://rhld.insurance.arkansas.gov/NPILookup?Npi=1942977301","1942977301")</f>
        <v>1942977301</v>
      </c>
      <c r="E4712" t="s">
        <v>4114</v>
      </c>
      <c r="F4712" t="s">
        <v>13</v>
      </c>
      <c r="G4712" s="20">
        <v>1</v>
      </c>
      <c r="H4712" t="s">
        <v>3403</v>
      </c>
      <c r="I4712" t="s">
        <v>32</v>
      </c>
      <c r="J4712" s="9">
        <v>54321</v>
      </c>
      <c r="K4712" s="9" t="s">
        <v>23</v>
      </c>
      <c r="L4712" s="9"/>
    </row>
    <row r="4713" spans="2:12" ht="15" x14ac:dyDescent="0.25">
      <c r="B4713" t="s">
        <v>3400</v>
      </c>
      <c r="C4713" t="s">
        <v>3401</v>
      </c>
      <c r="D4713" t="str">
        <f>HYPERLINK("https://rhld.insurance.arkansas.gov/NPILookup?Npi=1942997978","1942997978")</f>
        <v>1942997978</v>
      </c>
      <c r="E4713" t="s">
        <v>4115</v>
      </c>
      <c r="F4713" t="s">
        <v>13</v>
      </c>
      <c r="G4713" s="20">
        <v>1</v>
      </c>
      <c r="H4713" t="s">
        <v>3403</v>
      </c>
      <c r="I4713" t="s">
        <v>32</v>
      </c>
      <c r="J4713" s="9">
        <v>54321</v>
      </c>
      <c r="K4713" s="9" t="s">
        <v>23</v>
      </c>
      <c r="L4713" s="9"/>
    </row>
    <row r="4714" spans="2:12" ht="15" x14ac:dyDescent="0.25">
      <c r="B4714" t="s">
        <v>3400</v>
      </c>
      <c r="C4714" t="s">
        <v>3401</v>
      </c>
      <c r="D4714" t="str">
        <f>HYPERLINK("https://rhld.insurance.arkansas.gov/NPILookup?Npi=1952009052","1952009052")</f>
        <v>1952009052</v>
      </c>
      <c r="E4714" t="s">
        <v>4116</v>
      </c>
      <c r="F4714" t="s">
        <v>13</v>
      </c>
      <c r="G4714" s="20">
        <v>1</v>
      </c>
      <c r="H4714" t="s">
        <v>3403</v>
      </c>
      <c r="I4714" t="s">
        <v>32</v>
      </c>
      <c r="J4714" s="9">
        <v>54321</v>
      </c>
      <c r="K4714" s="9" t="s">
        <v>23</v>
      </c>
      <c r="L4714" s="9"/>
    </row>
    <row r="4715" spans="2:12" ht="15" x14ac:dyDescent="0.25">
      <c r="B4715" t="s">
        <v>3400</v>
      </c>
      <c r="C4715" t="s">
        <v>3401</v>
      </c>
      <c r="D4715" t="str">
        <f>HYPERLINK("https://rhld.insurance.arkansas.gov/NPILookup?Npi=1952086464","1952086464")</f>
        <v>1952086464</v>
      </c>
      <c r="E4715" t="s">
        <v>4117</v>
      </c>
      <c r="F4715" t="s">
        <v>13</v>
      </c>
      <c r="G4715" s="20">
        <v>1</v>
      </c>
      <c r="H4715" t="s">
        <v>3403</v>
      </c>
      <c r="I4715" t="s">
        <v>4357</v>
      </c>
      <c r="J4715" s="9">
        <v>54321</v>
      </c>
      <c r="K4715" s="9" t="s">
        <v>23</v>
      </c>
      <c r="L4715" s="9"/>
    </row>
    <row r="4716" spans="2:12" ht="15" x14ac:dyDescent="0.25">
      <c r="B4716" t="s">
        <v>3400</v>
      </c>
      <c r="C4716" t="s">
        <v>3401</v>
      </c>
      <c r="D4716" t="str">
        <f>HYPERLINK("https://rhld.insurance.arkansas.gov/NPILookup?Npi=1952171977","1952171977")</f>
        <v>1952171977</v>
      </c>
      <c r="E4716" t="s">
        <v>3330</v>
      </c>
      <c r="F4716" t="s">
        <v>13</v>
      </c>
      <c r="G4716" s="20">
        <v>1</v>
      </c>
      <c r="H4716" t="s">
        <v>4357</v>
      </c>
      <c r="I4716" t="s">
        <v>4357</v>
      </c>
      <c r="J4716" s="9">
        <v>54321</v>
      </c>
      <c r="K4716" s="9" t="s">
        <v>23</v>
      </c>
      <c r="L4716" s="9"/>
    </row>
    <row r="4717" spans="2:12" ht="15" x14ac:dyDescent="0.25">
      <c r="B4717" t="s">
        <v>3400</v>
      </c>
      <c r="C4717" t="s">
        <v>3401</v>
      </c>
      <c r="D4717" t="str">
        <f>HYPERLINK("https://rhld.insurance.arkansas.gov/NPILookup?Npi=1952188757","1952188757")</f>
        <v>1952188757</v>
      </c>
      <c r="E4717" t="s">
        <v>3331</v>
      </c>
      <c r="F4717" t="s">
        <v>13</v>
      </c>
      <c r="G4717" s="20">
        <v>1</v>
      </c>
      <c r="H4717" t="s">
        <v>4357</v>
      </c>
      <c r="I4717" t="s">
        <v>4357</v>
      </c>
      <c r="J4717" s="9">
        <v>54321</v>
      </c>
      <c r="K4717" s="9" t="s">
        <v>23</v>
      </c>
      <c r="L4717" s="9"/>
    </row>
    <row r="4718" spans="2:12" ht="15" x14ac:dyDescent="0.25">
      <c r="B4718" t="s">
        <v>3400</v>
      </c>
      <c r="C4718" t="s">
        <v>3401</v>
      </c>
      <c r="D4718" t="str">
        <f>HYPERLINK("https://rhld.insurance.arkansas.gov/NPILookup?Npi=1952341562","1952341562")</f>
        <v>1952341562</v>
      </c>
      <c r="E4718" t="s">
        <v>3332</v>
      </c>
      <c r="F4718" t="s">
        <v>13</v>
      </c>
      <c r="G4718" s="20">
        <v>1</v>
      </c>
      <c r="H4718" t="s">
        <v>3403</v>
      </c>
      <c r="I4718" t="s">
        <v>4357</v>
      </c>
      <c r="J4718" s="9">
        <v>54321</v>
      </c>
      <c r="K4718" s="9" t="s">
        <v>4639</v>
      </c>
      <c r="L4718" s="9"/>
    </row>
    <row r="4719" spans="2:12" ht="15" x14ac:dyDescent="0.25">
      <c r="B4719" t="s">
        <v>3400</v>
      </c>
      <c r="C4719" t="s">
        <v>3401</v>
      </c>
      <c r="D4719" t="str">
        <f>HYPERLINK("https://rhld.insurance.arkansas.gov/NPILookup?Npi=1952343907","1952343907")</f>
        <v>1952343907</v>
      </c>
      <c r="E4719" t="s">
        <v>4119</v>
      </c>
      <c r="F4719" t="s">
        <v>13</v>
      </c>
      <c r="G4719" s="20">
        <v>1</v>
      </c>
      <c r="H4719" t="s">
        <v>3403</v>
      </c>
      <c r="I4719" t="s">
        <v>32</v>
      </c>
      <c r="J4719" s="9">
        <v>54321</v>
      </c>
      <c r="K4719" s="9" t="s">
        <v>4639</v>
      </c>
      <c r="L4719" s="9"/>
    </row>
    <row r="4720" spans="2:12" ht="15" x14ac:dyDescent="0.25">
      <c r="B4720" t="s">
        <v>3400</v>
      </c>
      <c r="C4720" t="s">
        <v>3401</v>
      </c>
      <c r="D4720" t="str">
        <f>HYPERLINK("https://rhld.insurance.arkansas.gov/NPILookup?Npi=1952377442","1952377442")</f>
        <v>1952377442</v>
      </c>
      <c r="E4720" t="s">
        <v>4120</v>
      </c>
      <c r="F4720" t="s">
        <v>13</v>
      </c>
      <c r="G4720" s="20">
        <v>1</v>
      </c>
      <c r="H4720" t="s">
        <v>3403</v>
      </c>
      <c r="I4720" t="s">
        <v>4357</v>
      </c>
      <c r="J4720" s="9">
        <v>54321</v>
      </c>
      <c r="K4720" s="9" t="s">
        <v>23</v>
      </c>
      <c r="L4720" s="9"/>
    </row>
    <row r="4721" spans="2:12" ht="15" x14ac:dyDescent="0.25">
      <c r="B4721" t="s">
        <v>3400</v>
      </c>
      <c r="C4721" t="s">
        <v>3401</v>
      </c>
      <c r="D4721" t="str">
        <f>HYPERLINK("https://rhld.insurance.arkansas.gov/NPILookup?Npi=1952380651","1952380651")</f>
        <v>1952380651</v>
      </c>
      <c r="E4721" t="s">
        <v>917</v>
      </c>
      <c r="F4721" t="s">
        <v>13</v>
      </c>
      <c r="G4721" s="20">
        <v>1</v>
      </c>
      <c r="H4721" t="s">
        <v>3403</v>
      </c>
      <c r="I4721" t="s">
        <v>32</v>
      </c>
      <c r="J4721" s="9">
        <v>54321</v>
      </c>
      <c r="K4721" s="9" t="s">
        <v>23</v>
      </c>
      <c r="L4721" s="9"/>
    </row>
    <row r="4722" spans="2:12" ht="15" x14ac:dyDescent="0.25">
      <c r="B4722" t="s">
        <v>3400</v>
      </c>
      <c r="C4722" t="s">
        <v>3401</v>
      </c>
      <c r="D4722" t="str">
        <f>HYPERLINK("https://rhld.insurance.arkansas.gov/NPILookup?Npi=1952416653","1952416653")</f>
        <v>1952416653</v>
      </c>
      <c r="E4722" t="s">
        <v>4121</v>
      </c>
      <c r="F4722" t="s">
        <v>12</v>
      </c>
      <c r="G4722" s="20">
        <v>1</v>
      </c>
      <c r="H4722" t="s">
        <v>4338</v>
      </c>
      <c r="I4722" t="s">
        <v>32</v>
      </c>
      <c r="J4722" s="9">
        <v>54321</v>
      </c>
      <c r="K4722" s="9" t="s">
        <v>23</v>
      </c>
      <c r="L4722" s="9"/>
    </row>
    <row r="4723" spans="2:12" ht="15" x14ac:dyDescent="0.25">
      <c r="B4723" t="s">
        <v>3400</v>
      </c>
      <c r="C4723" t="s">
        <v>3401</v>
      </c>
      <c r="D4723" t="str">
        <f>HYPERLINK("https://rhld.insurance.arkansas.gov/NPILookup?Npi=1952488660","1952488660")</f>
        <v>1952488660</v>
      </c>
      <c r="E4723" t="s">
        <v>4122</v>
      </c>
      <c r="F4723" t="s">
        <v>12</v>
      </c>
      <c r="G4723" s="20">
        <v>1</v>
      </c>
      <c r="H4723" t="s">
        <v>4338</v>
      </c>
      <c r="I4723" t="s">
        <v>32</v>
      </c>
      <c r="J4723" s="9">
        <v>54321</v>
      </c>
      <c r="K4723" s="9" t="s">
        <v>23</v>
      </c>
      <c r="L4723" s="9"/>
    </row>
    <row r="4724" spans="2:12" ht="15" x14ac:dyDescent="0.25">
      <c r="B4724" t="s">
        <v>3400</v>
      </c>
      <c r="C4724" t="s">
        <v>3401</v>
      </c>
      <c r="D4724" t="str">
        <f>HYPERLINK("https://rhld.insurance.arkansas.gov/NPILookup?Npi=1952493546","1952493546")</f>
        <v>1952493546</v>
      </c>
      <c r="E4724" t="s">
        <v>3336</v>
      </c>
      <c r="F4724" t="s">
        <v>13</v>
      </c>
      <c r="G4724" s="20">
        <v>1</v>
      </c>
      <c r="H4724" t="s">
        <v>3403</v>
      </c>
      <c r="I4724" t="s">
        <v>4357</v>
      </c>
      <c r="J4724" s="9">
        <v>54321</v>
      </c>
      <c r="K4724" s="9" t="s">
        <v>23</v>
      </c>
      <c r="L4724" s="9"/>
    </row>
    <row r="4725" spans="2:12" ht="15" x14ac:dyDescent="0.25">
      <c r="B4725" t="s">
        <v>3400</v>
      </c>
      <c r="C4725" t="s">
        <v>3401</v>
      </c>
      <c r="D4725" t="str">
        <f>HYPERLINK("https://rhld.insurance.arkansas.gov/NPILookup?Npi=1952566440","1952566440")</f>
        <v>1952566440</v>
      </c>
      <c r="E4725" t="s">
        <v>4123</v>
      </c>
      <c r="F4725" t="s">
        <v>13</v>
      </c>
      <c r="G4725" s="20">
        <v>1</v>
      </c>
      <c r="H4725" t="s">
        <v>3403</v>
      </c>
      <c r="I4725" t="s">
        <v>32</v>
      </c>
      <c r="J4725" s="9">
        <v>54321</v>
      </c>
      <c r="K4725" s="9" t="s">
        <v>23</v>
      </c>
      <c r="L4725" s="9"/>
    </row>
    <row r="4726" spans="2:12" ht="15" x14ac:dyDescent="0.25">
      <c r="B4726" t="s">
        <v>3400</v>
      </c>
      <c r="C4726" t="s">
        <v>3401</v>
      </c>
      <c r="D4726" t="str">
        <f>HYPERLINK("https://rhld.insurance.arkansas.gov/NPILookup?Npi=1952606055","1952606055")</f>
        <v>1952606055</v>
      </c>
      <c r="E4726" t="s">
        <v>3339</v>
      </c>
      <c r="F4726" t="s">
        <v>13</v>
      </c>
      <c r="G4726" s="20">
        <v>1</v>
      </c>
      <c r="H4726" t="s">
        <v>3403</v>
      </c>
      <c r="I4726" t="s">
        <v>4357</v>
      </c>
      <c r="J4726" s="9">
        <v>54321</v>
      </c>
      <c r="K4726" s="9" t="s">
        <v>23</v>
      </c>
      <c r="L4726" s="9"/>
    </row>
    <row r="4727" spans="2:12" ht="15" x14ac:dyDescent="0.25">
      <c r="B4727" t="s">
        <v>3400</v>
      </c>
      <c r="C4727" t="s">
        <v>3401</v>
      </c>
      <c r="D4727" t="str">
        <f>HYPERLINK("https://rhld.insurance.arkansas.gov/NPILookup?Npi=1952805368","1952805368")</f>
        <v>1952805368</v>
      </c>
      <c r="E4727" t="s">
        <v>4124</v>
      </c>
      <c r="F4727" t="s">
        <v>13</v>
      </c>
      <c r="G4727" s="20">
        <v>1</v>
      </c>
      <c r="H4727" t="s">
        <v>87</v>
      </c>
      <c r="I4727" t="s">
        <v>4357</v>
      </c>
      <c r="J4727" s="9">
        <v>54321</v>
      </c>
      <c r="K4727" s="9" t="s">
        <v>23</v>
      </c>
      <c r="L4727" s="9"/>
    </row>
    <row r="4728" spans="2:12" ht="15" x14ac:dyDescent="0.25">
      <c r="B4728" t="s">
        <v>3400</v>
      </c>
      <c r="C4728" t="s">
        <v>3401</v>
      </c>
      <c r="D4728" t="str">
        <f>HYPERLINK("https://rhld.insurance.arkansas.gov/NPILookup?Npi=1952808651","1952808651")</f>
        <v>1952808651</v>
      </c>
      <c r="E4728" t="s">
        <v>4125</v>
      </c>
      <c r="F4728" t="s">
        <v>13</v>
      </c>
      <c r="G4728" s="20">
        <v>1</v>
      </c>
      <c r="H4728" t="s">
        <v>3403</v>
      </c>
      <c r="I4728" t="s">
        <v>32</v>
      </c>
      <c r="J4728" s="9">
        <v>54321</v>
      </c>
      <c r="K4728" s="9" t="s">
        <v>23</v>
      </c>
      <c r="L4728" s="9"/>
    </row>
    <row r="4729" spans="2:12" ht="15" x14ac:dyDescent="0.25">
      <c r="B4729" t="s">
        <v>3400</v>
      </c>
      <c r="C4729" t="s">
        <v>3401</v>
      </c>
      <c r="D4729" t="str">
        <f>HYPERLINK("https://rhld.insurance.arkansas.gov/NPILookup?Npi=1962166785","1962166785")</f>
        <v>1962166785</v>
      </c>
      <c r="E4729" t="s">
        <v>4126</v>
      </c>
      <c r="F4729" t="s">
        <v>13</v>
      </c>
      <c r="G4729" s="20">
        <v>1</v>
      </c>
      <c r="H4729" t="s">
        <v>3403</v>
      </c>
      <c r="I4729" t="s">
        <v>32</v>
      </c>
      <c r="J4729" s="9">
        <v>54321</v>
      </c>
      <c r="K4729" s="9" t="s">
        <v>23</v>
      </c>
      <c r="L4729" s="9"/>
    </row>
    <row r="4730" spans="2:12" ht="15" x14ac:dyDescent="0.25">
      <c r="B4730" t="s">
        <v>3400</v>
      </c>
      <c r="C4730" t="s">
        <v>3401</v>
      </c>
      <c r="D4730" t="str">
        <f>HYPERLINK("https://rhld.insurance.arkansas.gov/NPILookup?Npi=1962207589","1962207589")</f>
        <v>1962207589</v>
      </c>
      <c r="E4730" t="s">
        <v>3349</v>
      </c>
      <c r="F4730" t="s">
        <v>13</v>
      </c>
      <c r="G4730" s="20">
        <v>1</v>
      </c>
      <c r="H4730" t="s">
        <v>4357</v>
      </c>
      <c r="I4730" t="s">
        <v>4357</v>
      </c>
      <c r="J4730" s="9">
        <v>54321</v>
      </c>
      <c r="K4730" s="9" t="s">
        <v>23</v>
      </c>
      <c r="L4730" s="9"/>
    </row>
    <row r="4731" spans="2:12" ht="15" x14ac:dyDescent="0.25">
      <c r="B4731" t="s">
        <v>3400</v>
      </c>
      <c r="C4731" t="s">
        <v>3401</v>
      </c>
      <c r="D4731" t="str">
        <f>HYPERLINK("https://rhld.insurance.arkansas.gov/NPILookup?Npi=1962227942","1962227942")</f>
        <v>1962227942</v>
      </c>
      <c r="E4731" t="s">
        <v>2101</v>
      </c>
      <c r="F4731" t="s">
        <v>13</v>
      </c>
      <c r="G4731" s="20">
        <v>1</v>
      </c>
      <c r="H4731" t="s">
        <v>4357</v>
      </c>
      <c r="I4731" t="s">
        <v>4357</v>
      </c>
      <c r="J4731" s="9">
        <v>54321</v>
      </c>
      <c r="K4731" s="9" t="s">
        <v>22</v>
      </c>
      <c r="L4731" s="9" t="s">
        <v>4640</v>
      </c>
    </row>
    <row r="4732" spans="2:12" ht="15" x14ac:dyDescent="0.25">
      <c r="B4732" t="s">
        <v>3400</v>
      </c>
      <c r="C4732" t="s">
        <v>3401</v>
      </c>
      <c r="D4732" t="str">
        <f>HYPERLINK("https://rhld.insurance.arkansas.gov/NPILookup?Npi=1962247130","1962247130")</f>
        <v>1962247130</v>
      </c>
      <c r="E4732" t="s">
        <v>4127</v>
      </c>
      <c r="F4732" t="s">
        <v>13</v>
      </c>
      <c r="G4732" s="20">
        <v>1</v>
      </c>
      <c r="H4732" t="s">
        <v>3403</v>
      </c>
      <c r="I4732" t="s">
        <v>4357</v>
      </c>
      <c r="J4732" s="9">
        <v>54321</v>
      </c>
      <c r="K4732" s="9" t="s">
        <v>23</v>
      </c>
      <c r="L4732" s="9"/>
    </row>
    <row r="4733" spans="2:12" ht="15" x14ac:dyDescent="0.25">
      <c r="B4733" t="s">
        <v>3400</v>
      </c>
      <c r="C4733" t="s">
        <v>3401</v>
      </c>
      <c r="D4733" t="str">
        <f>HYPERLINK("https://rhld.insurance.arkansas.gov/NPILookup?Npi=1962247684","1962247684")</f>
        <v>1962247684</v>
      </c>
      <c r="E4733" t="s">
        <v>4128</v>
      </c>
      <c r="F4733" t="s">
        <v>13</v>
      </c>
      <c r="G4733" s="20">
        <v>1</v>
      </c>
      <c r="H4733" t="s">
        <v>3403</v>
      </c>
      <c r="I4733" t="s">
        <v>4357</v>
      </c>
      <c r="J4733" s="9">
        <v>54321</v>
      </c>
      <c r="K4733" s="9" t="s">
        <v>23</v>
      </c>
      <c r="L4733" s="9"/>
    </row>
    <row r="4734" spans="2:12" ht="15" x14ac:dyDescent="0.25">
      <c r="B4734" t="s">
        <v>3400</v>
      </c>
      <c r="C4734" t="s">
        <v>3401</v>
      </c>
      <c r="D4734" t="str">
        <f>HYPERLINK("https://rhld.insurance.arkansas.gov/NPILookup?Npi=1962253088","1962253088")</f>
        <v>1962253088</v>
      </c>
      <c r="E4734" t="s">
        <v>3350</v>
      </c>
      <c r="F4734" t="s">
        <v>13</v>
      </c>
      <c r="G4734" s="20">
        <v>1</v>
      </c>
      <c r="H4734" t="s">
        <v>4357</v>
      </c>
      <c r="I4734" t="s">
        <v>4357</v>
      </c>
      <c r="J4734" s="9">
        <v>54321</v>
      </c>
      <c r="K4734" s="9" t="s">
        <v>23</v>
      </c>
      <c r="L4734" s="9"/>
    </row>
    <row r="4735" spans="2:12" ht="15" x14ac:dyDescent="0.25">
      <c r="B4735" t="s">
        <v>3400</v>
      </c>
      <c r="C4735" t="s">
        <v>3401</v>
      </c>
      <c r="D4735" t="str">
        <f>HYPERLINK("https://rhld.insurance.arkansas.gov/NPILookup?Npi=1962524090","1962524090")</f>
        <v>1962524090</v>
      </c>
      <c r="E4735" t="s">
        <v>3356</v>
      </c>
      <c r="F4735" t="s">
        <v>12</v>
      </c>
      <c r="G4735" s="20">
        <v>1</v>
      </c>
      <c r="H4735" t="s">
        <v>4338</v>
      </c>
      <c r="I4735" t="s">
        <v>32</v>
      </c>
      <c r="J4735" s="9">
        <v>54321</v>
      </c>
      <c r="K4735" s="9" t="s">
        <v>22</v>
      </c>
      <c r="L4735" s="9" t="s">
        <v>4640</v>
      </c>
    </row>
    <row r="4736" spans="2:12" ht="15" x14ac:dyDescent="0.25">
      <c r="B4736" t="s">
        <v>3400</v>
      </c>
      <c r="C4736" t="s">
        <v>3401</v>
      </c>
      <c r="D4736" t="str">
        <f>HYPERLINK("https://rhld.insurance.arkansas.gov/NPILookup?Npi=1962588210","1962588210")</f>
        <v>1962588210</v>
      </c>
      <c r="E4736" t="s">
        <v>3357</v>
      </c>
      <c r="F4736" t="s">
        <v>13</v>
      </c>
      <c r="G4736" s="20">
        <v>1</v>
      </c>
      <c r="H4736" t="s">
        <v>3403</v>
      </c>
      <c r="I4736" t="s">
        <v>4357</v>
      </c>
      <c r="J4736" s="9">
        <v>54321</v>
      </c>
      <c r="K4736" s="9" t="s">
        <v>4639</v>
      </c>
      <c r="L4736" s="9"/>
    </row>
    <row r="4737" spans="2:12" ht="15" x14ac:dyDescent="0.25">
      <c r="B4737" t="s">
        <v>3400</v>
      </c>
      <c r="C4737" t="s">
        <v>3401</v>
      </c>
      <c r="D4737" t="str">
        <f>HYPERLINK("https://rhld.insurance.arkansas.gov/NPILookup?Npi=1962825562","1962825562")</f>
        <v>1962825562</v>
      </c>
      <c r="E4737" t="s">
        <v>4129</v>
      </c>
      <c r="F4737" t="s">
        <v>13</v>
      </c>
      <c r="G4737" s="20">
        <v>1</v>
      </c>
      <c r="H4737" t="s">
        <v>3403</v>
      </c>
      <c r="I4737" t="s">
        <v>32</v>
      </c>
      <c r="J4737" s="9">
        <v>54321</v>
      </c>
      <c r="K4737" s="9" t="s">
        <v>23</v>
      </c>
      <c r="L4737" s="9"/>
    </row>
    <row r="4738" spans="2:12" ht="15" x14ac:dyDescent="0.25">
      <c r="B4738" t="s">
        <v>3400</v>
      </c>
      <c r="C4738" t="s">
        <v>3401</v>
      </c>
      <c r="D4738" t="str">
        <f>HYPERLINK("https://rhld.insurance.arkansas.gov/NPILookup?Npi=1962980797","1962980797")</f>
        <v>1962980797</v>
      </c>
      <c r="E4738" t="s">
        <v>4130</v>
      </c>
      <c r="F4738" t="s">
        <v>13</v>
      </c>
      <c r="G4738" s="20">
        <v>1</v>
      </c>
      <c r="H4738" t="s">
        <v>3403</v>
      </c>
      <c r="I4738" t="s">
        <v>32</v>
      </c>
      <c r="J4738" s="9">
        <v>54321</v>
      </c>
      <c r="K4738" s="9" t="s">
        <v>23</v>
      </c>
      <c r="L4738" s="9"/>
    </row>
    <row r="4739" spans="2:12" ht="15" x14ac:dyDescent="0.25">
      <c r="B4739" t="s">
        <v>3400</v>
      </c>
      <c r="C4739" t="s">
        <v>3401</v>
      </c>
      <c r="D4739" t="str">
        <f>HYPERLINK("https://rhld.insurance.arkansas.gov/NPILookup?Npi=1972008431","1972008431")</f>
        <v>1972008431</v>
      </c>
      <c r="E4739" t="s">
        <v>4131</v>
      </c>
      <c r="F4739" t="s">
        <v>12</v>
      </c>
      <c r="G4739" s="20">
        <v>1</v>
      </c>
      <c r="H4739" t="s">
        <v>4338</v>
      </c>
      <c r="I4739" t="s">
        <v>32</v>
      </c>
      <c r="J4739" s="9">
        <v>54321</v>
      </c>
      <c r="K4739" s="9" t="s">
        <v>23</v>
      </c>
      <c r="L4739" s="9"/>
    </row>
    <row r="4740" spans="2:12" ht="15" x14ac:dyDescent="0.25">
      <c r="B4740" t="s">
        <v>3400</v>
      </c>
      <c r="C4740" t="s">
        <v>3401</v>
      </c>
      <c r="D4740" t="str">
        <f>HYPERLINK("https://rhld.insurance.arkansas.gov/NPILookup?Npi=1972032118","1972032118")</f>
        <v>1972032118</v>
      </c>
      <c r="E4740" t="s">
        <v>4132</v>
      </c>
      <c r="F4740" t="s">
        <v>12</v>
      </c>
      <c r="G4740" s="20">
        <v>1</v>
      </c>
      <c r="H4740" t="s">
        <v>4338</v>
      </c>
      <c r="I4740" t="s">
        <v>32</v>
      </c>
      <c r="J4740" s="9">
        <v>54321</v>
      </c>
      <c r="K4740" s="9" t="s">
        <v>23</v>
      </c>
      <c r="L4740" s="9"/>
    </row>
    <row r="4741" spans="2:12" ht="15" x14ac:dyDescent="0.25">
      <c r="B4741" t="s">
        <v>3400</v>
      </c>
      <c r="C4741" t="s">
        <v>3401</v>
      </c>
      <c r="D4741" t="str">
        <f>HYPERLINK("https://rhld.insurance.arkansas.gov/NPILookup?Npi=1972114981","1972114981")</f>
        <v>1972114981</v>
      </c>
      <c r="E4741" t="s">
        <v>4133</v>
      </c>
      <c r="F4741" t="s">
        <v>13</v>
      </c>
      <c r="G4741" s="20">
        <v>1</v>
      </c>
      <c r="H4741" t="s">
        <v>3403</v>
      </c>
      <c r="I4741" t="s">
        <v>32</v>
      </c>
      <c r="J4741" s="9">
        <v>54321</v>
      </c>
      <c r="K4741" s="9" t="s">
        <v>23</v>
      </c>
      <c r="L4741" s="9"/>
    </row>
    <row r="4742" spans="2:12" ht="15" x14ac:dyDescent="0.25">
      <c r="B4742" t="s">
        <v>3400</v>
      </c>
      <c r="C4742" t="s">
        <v>3401</v>
      </c>
      <c r="D4742" t="str">
        <f>HYPERLINK("https://rhld.insurance.arkansas.gov/NPILookup?Npi=1972144608","1972144608")</f>
        <v>1972144608</v>
      </c>
      <c r="E4742" t="s">
        <v>3363</v>
      </c>
      <c r="F4742" t="s">
        <v>13</v>
      </c>
      <c r="G4742" s="20">
        <v>1</v>
      </c>
      <c r="H4742" t="s">
        <v>4357</v>
      </c>
      <c r="I4742" t="s">
        <v>4357</v>
      </c>
      <c r="J4742" s="9">
        <v>54321</v>
      </c>
      <c r="K4742" s="9" t="s">
        <v>23</v>
      </c>
      <c r="L4742" s="9"/>
    </row>
    <row r="4743" spans="2:12" ht="15" x14ac:dyDescent="0.25">
      <c r="B4743" t="s">
        <v>3400</v>
      </c>
      <c r="C4743" t="s">
        <v>3401</v>
      </c>
      <c r="D4743" t="str">
        <f>HYPERLINK("https://rhld.insurance.arkansas.gov/NPILookup?Npi=1972157410","1972157410")</f>
        <v>1972157410</v>
      </c>
      <c r="E4743" t="s">
        <v>4134</v>
      </c>
      <c r="F4743" t="s">
        <v>13</v>
      </c>
      <c r="G4743" s="20">
        <v>1</v>
      </c>
      <c r="H4743" t="s">
        <v>3403</v>
      </c>
      <c r="I4743" t="s">
        <v>4357</v>
      </c>
      <c r="J4743" s="9">
        <v>54321</v>
      </c>
      <c r="K4743" s="9" t="s">
        <v>23</v>
      </c>
      <c r="L4743" s="9"/>
    </row>
    <row r="4744" spans="2:12" ht="15" x14ac:dyDescent="0.25">
      <c r="B4744" t="s">
        <v>3400</v>
      </c>
      <c r="C4744" t="s">
        <v>3401</v>
      </c>
      <c r="D4744" t="str">
        <f>HYPERLINK("https://rhld.insurance.arkansas.gov/NPILookup?Npi=1972180370","1972180370")</f>
        <v>1972180370</v>
      </c>
      <c r="E4744" t="s">
        <v>3364</v>
      </c>
      <c r="F4744" t="s">
        <v>13</v>
      </c>
      <c r="G4744" s="20">
        <v>1</v>
      </c>
      <c r="H4744" t="s">
        <v>4357</v>
      </c>
      <c r="I4744" t="s">
        <v>4357</v>
      </c>
      <c r="J4744" s="9">
        <v>54321</v>
      </c>
      <c r="K4744" s="9" t="s">
        <v>23</v>
      </c>
      <c r="L4744" s="9"/>
    </row>
    <row r="4745" spans="2:12" ht="15" x14ac:dyDescent="0.25">
      <c r="B4745" t="s">
        <v>3400</v>
      </c>
      <c r="C4745" t="s">
        <v>3401</v>
      </c>
      <c r="D4745" t="str">
        <f>HYPERLINK("https://rhld.insurance.arkansas.gov/NPILookup?Npi=1972194678","1972194678")</f>
        <v>1972194678</v>
      </c>
      <c r="E4745" t="s">
        <v>4135</v>
      </c>
      <c r="F4745" t="s">
        <v>13</v>
      </c>
      <c r="G4745" s="20">
        <v>1</v>
      </c>
      <c r="H4745" t="s">
        <v>3403</v>
      </c>
      <c r="I4745" t="s">
        <v>32</v>
      </c>
      <c r="J4745" s="9">
        <v>54321</v>
      </c>
      <c r="K4745" s="9" t="s">
        <v>23</v>
      </c>
      <c r="L4745" s="9"/>
    </row>
    <row r="4746" spans="2:12" ht="15" x14ac:dyDescent="0.25">
      <c r="B4746" t="s">
        <v>3400</v>
      </c>
      <c r="C4746" t="s">
        <v>3401</v>
      </c>
      <c r="D4746" t="str">
        <f>HYPERLINK("https://rhld.insurance.arkansas.gov/NPILookup?Npi=1972260545","1972260545")</f>
        <v>1972260545</v>
      </c>
      <c r="E4746" t="s">
        <v>3366</v>
      </c>
      <c r="F4746" t="s">
        <v>13</v>
      </c>
      <c r="G4746" s="20">
        <v>1</v>
      </c>
      <c r="H4746" t="s">
        <v>4357</v>
      </c>
      <c r="I4746" t="s">
        <v>32</v>
      </c>
      <c r="J4746" s="9">
        <v>54321</v>
      </c>
      <c r="K4746" s="9" t="s">
        <v>23</v>
      </c>
      <c r="L4746" s="9"/>
    </row>
    <row r="4747" spans="2:12" ht="15" x14ac:dyDescent="0.25">
      <c r="B4747" t="s">
        <v>3400</v>
      </c>
      <c r="C4747" t="s">
        <v>3401</v>
      </c>
      <c r="D4747" t="str">
        <f>HYPERLINK("https://rhld.insurance.arkansas.gov/NPILookup?Npi=1972284107","1972284107")</f>
        <v>1972284107</v>
      </c>
      <c r="E4747" t="s">
        <v>3367</v>
      </c>
      <c r="F4747" t="s">
        <v>13</v>
      </c>
      <c r="G4747" s="20">
        <v>1</v>
      </c>
      <c r="H4747" t="s">
        <v>4357</v>
      </c>
      <c r="I4747" t="s">
        <v>4357</v>
      </c>
      <c r="J4747" s="9">
        <v>54321</v>
      </c>
      <c r="K4747" s="9" t="s">
        <v>23</v>
      </c>
      <c r="L4747" s="9"/>
    </row>
    <row r="4748" spans="2:12" ht="15" x14ac:dyDescent="0.25">
      <c r="B4748" t="s">
        <v>3400</v>
      </c>
      <c r="C4748" t="s">
        <v>3401</v>
      </c>
      <c r="D4748" t="str">
        <f>HYPERLINK("https://rhld.insurance.arkansas.gov/NPILookup?Npi=1972373637","1972373637")</f>
        <v>1972373637</v>
      </c>
      <c r="E4748" t="s">
        <v>4136</v>
      </c>
      <c r="F4748" t="s">
        <v>13</v>
      </c>
      <c r="G4748" s="20">
        <v>1</v>
      </c>
      <c r="H4748" t="s">
        <v>3403</v>
      </c>
      <c r="I4748" t="s">
        <v>4357</v>
      </c>
      <c r="J4748" s="9">
        <v>54321</v>
      </c>
      <c r="K4748" s="9" t="s">
        <v>23</v>
      </c>
      <c r="L4748" s="9"/>
    </row>
    <row r="4749" spans="2:12" ht="15" x14ac:dyDescent="0.25">
      <c r="B4749" t="s">
        <v>3400</v>
      </c>
      <c r="C4749" t="s">
        <v>3401</v>
      </c>
      <c r="D4749" t="str">
        <f>HYPERLINK("https://rhld.insurance.arkansas.gov/NPILookup?Npi=1972508984","1972508984")</f>
        <v>1972508984</v>
      </c>
      <c r="E4749" t="s">
        <v>4137</v>
      </c>
      <c r="F4749" t="s">
        <v>13</v>
      </c>
      <c r="G4749" s="20">
        <v>1</v>
      </c>
      <c r="H4749" t="s">
        <v>3403</v>
      </c>
      <c r="I4749" t="s">
        <v>32</v>
      </c>
      <c r="J4749" s="9">
        <v>54321</v>
      </c>
      <c r="K4749" s="9" t="s">
        <v>23</v>
      </c>
      <c r="L4749" s="9"/>
    </row>
    <row r="4750" spans="2:12" ht="15" x14ac:dyDescent="0.25">
      <c r="B4750" t="s">
        <v>3400</v>
      </c>
      <c r="C4750" t="s">
        <v>3401</v>
      </c>
      <c r="D4750" t="str">
        <f>HYPERLINK("https://rhld.insurance.arkansas.gov/NPILookup?Npi=1972567758","1972567758")</f>
        <v>1972567758</v>
      </c>
      <c r="E4750" t="s">
        <v>4138</v>
      </c>
      <c r="F4750" t="s">
        <v>13</v>
      </c>
      <c r="G4750" s="20">
        <v>1</v>
      </c>
      <c r="H4750" t="s">
        <v>3403</v>
      </c>
      <c r="I4750" t="s">
        <v>32</v>
      </c>
      <c r="J4750" s="9">
        <v>54321</v>
      </c>
      <c r="K4750" s="9" t="s">
        <v>4641</v>
      </c>
      <c r="L4750" s="9"/>
    </row>
    <row r="4751" spans="2:12" ht="15" x14ac:dyDescent="0.25">
      <c r="B4751" t="s">
        <v>3400</v>
      </c>
      <c r="C4751" t="s">
        <v>3401</v>
      </c>
      <c r="D4751" t="str">
        <f>HYPERLINK("https://rhld.insurance.arkansas.gov/NPILookup?Npi=1972582534","1972582534")</f>
        <v>1972582534</v>
      </c>
      <c r="E4751" t="s">
        <v>4139</v>
      </c>
      <c r="F4751" t="s">
        <v>13</v>
      </c>
      <c r="G4751" s="20">
        <v>1</v>
      </c>
      <c r="H4751" t="s">
        <v>3403</v>
      </c>
      <c r="I4751" t="s">
        <v>32</v>
      </c>
      <c r="J4751" s="9">
        <v>54321</v>
      </c>
      <c r="K4751" s="9" t="s">
        <v>23</v>
      </c>
      <c r="L4751" s="9"/>
    </row>
    <row r="4752" spans="2:12" ht="15" x14ac:dyDescent="0.25">
      <c r="B4752" t="s">
        <v>3400</v>
      </c>
      <c r="C4752" t="s">
        <v>3401</v>
      </c>
      <c r="D4752" t="str">
        <f>HYPERLINK("https://rhld.insurance.arkansas.gov/NPILookup?Npi=1972598837","1972598837")</f>
        <v>1972598837</v>
      </c>
      <c r="E4752" t="s">
        <v>4140</v>
      </c>
      <c r="F4752" t="s">
        <v>13</v>
      </c>
      <c r="G4752" s="20">
        <v>1</v>
      </c>
      <c r="H4752" t="s">
        <v>3403</v>
      </c>
      <c r="I4752" t="s">
        <v>4357</v>
      </c>
      <c r="J4752" s="9">
        <v>54321</v>
      </c>
      <c r="K4752" s="9" t="s">
        <v>23</v>
      </c>
      <c r="L4752" s="9"/>
    </row>
    <row r="4753" spans="2:12" ht="15" x14ac:dyDescent="0.25">
      <c r="B4753" t="s">
        <v>3400</v>
      </c>
      <c r="C4753" t="s">
        <v>3401</v>
      </c>
      <c r="D4753" t="str">
        <f>HYPERLINK("https://rhld.insurance.arkansas.gov/NPILookup?Npi=1972855161","1972855161")</f>
        <v>1972855161</v>
      </c>
      <c r="E4753" t="s">
        <v>4141</v>
      </c>
      <c r="F4753" t="s">
        <v>13</v>
      </c>
      <c r="G4753" s="20">
        <v>1</v>
      </c>
      <c r="H4753" t="s">
        <v>3403</v>
      </c>
      <c r="I4753" t="s">
        <v>32</v>
      </c>
      <c r="J4753" s="9">
        <v>54321</v>
      </c>
      <c r="K4753" s="9" t="s">
        <v>23</v>
      </c>
      <c r="L4753" s="9"/>
    </row>
    <row r="4754" spans="2:12" ht="15" x14ac:dyDescent="0.25">
      <c r="B4754" t="s">
        <v>3400</v>
      </c>
      <c r="C4754" t="s">
        <v>3401</v>
      </c>
      <c r="D4754" t="str">
        <f>HYPERLINK("https://rhld.insurance.arkansas.gov/NPILookup?Npi=1972859890","1972859890")</f>
        <v>1972859890</v>
      </c>
      <c r="E4754" t="s">
        <v>4142</v>
      </c>
      <c r="F4754" t="s">
        <v>12</v>
      </c>
      <c r="G4754" s="20">
        <v>1</v>
      </c>
      <c r="H4754" t="s">
        <v>139</v>
      </c>
      <c r="I4754" t="s">
        <v>4357</v>
      </c>
      <c r="J4754" s="9">
        <v>54321</v>
      </c>
      <c r="K4754" s="9" t="s">
        <v>4639</v>
      </c>
      <c r="L4754" s="9"/>
    </row>
    <row r="4755" spans="2:12" ht="15" x14ac:dyDescent="0.25">
      <c r="B4755" t="s">
        <v>3400</v>
      </c>
      <c r="C4755" t="s">
        <v>3401</v>
      </c>
      <c r="D4755" t="str">
        <f>HYPERLINK("https://rhld.insurance.arkansas.gov/NPILookup?Npi=1972888352","1972888352")</f>
        <v>1972888352</v>
      </c>
      <c r="E4755" t="s">
        <v>4143</v>
      </c>
      <c r="F4755" t="s">
        <v>13</v>
      </c>
      <c r="G4755" s="20">
        <v>1</v>
      </c>
      <c r="H4755" t="s">
        <v>3403</v>
      </c>
      <c r="I4755" t="s">
        <v>4357</v>
      </c>
      <c r="J4755" s="9">
        <v>54321</v>
      </c>
      <c r="K4755" s="9" t="s">
        <v>23</v>
      </c>
      <c r="L4755" s="9"/>
    </row>
    <row r="4756" spans="2:12" ht="15" x14ac:dyDescent="0.25">
      <c r="B4756" t="s">
        <v>3400</v>
      </c>
      <c r="C4756" t="s">
        <v>3401</v>
      </c>
      <c r="D4756" t="str">
        <f>HYPERLINK("https://rhld.insurance.arkansas.gov/NPILookup?Npi=1972928729","1972928729")</f>
        <v>1972928729</v>
      </c>
      <c r="E4756" t="s">
        <v>4144</v>
      </c>
      <c r="F4756" t="s">
        <v>13</v>
      </c>
      <c r="G4756" s="20">
        <v>1</v>
      </c>
      <c r="H4756" t="s">
        <v>87</v>
      </c>
      <c r="I4756" t="s">
        <v>4357</v>
      </c>
      <c r="J4756" s="9">
        <v>54321</v>
      </c>
      <c r="K4756" s="9" t="s">
        <v>23</v>
      </c>
      <c r="L4756" s="9"/>
    </row>
    <row r="4757" spans="2:12" ht="15" x14ac:dyDescent="0.25">
      <c r="B4757" t="s">
        <v>3400</v>
      </c>
      <c r="C4757" t="s">
        <v>3401</v>
      </c>
      <c r="D4757" t="str">
        <f>HYPERLINK("https://rhld.insurance.arkansas.gov/NPILookup?Npi=1972932853","1972932853")</f>
        <v>1972932853</v>
      </c>
      <c r="E4757" t="s">
        <v>3371</v>
      </c>
      <c r="F4757" t="s">
        <v>13</v>
      </c>
      <c r="G4757" s="20">
        <v>1</v>
      </c>
      <c r="H4757" t="s">
        <v>3403</v>
      </c>
      <c r="I4757" t="s">
        <v>4357</v>
      </c>
      <c r="J4757" s="9">
        <v>54321</v>
      </c>
      <c r="K4757" s="9" t="s">
        <v>23</v>
      </c>
      <c r="L4757" s="9"/>
    </row>
    <row r="4758" spans="2:12" ht="15" x14ac:dyDescent="0.25">
      <c r="B4758" t="s">
        <v>3400</v>
      </c>
      <c r="C4758" t="s">
        <v>3401</v>
      </c>
      <c r="D4758" t="str">
        <f>HYPERLINK("https://rhld.insurance.arkansas.gov/NPILookup?Npi=1982048989","1982048989")</f>
        <v>1982048989</v>
      </c>
      <c r="E4758" t="s">
        <v>4145</v>
      </c>
      <c r="F4758" t="s">
        <v>12</v>
      </c>
      <c r="G4758" s="20">
        <v>1</v>
      </c>
      <c r="H4758" t="s">
        <v>4338</v>
      </c>
      <c r="I4758" t="s">
        <v>32</v>
      </c>
      <c r="J4758" s="9">
        <v>54321</v>
      </c>
      <c r="K4758" s="9" t="s">
        <v>23</v>
      </c>
      <c r="L4758" s="9"/>
    </row>
    <row r="4759" spans="2:12" ht="15" x14ac:dyDescent="0.25">
      <c r="B4759" t="s">
        <v>3400</v>
      </c>
      <c r="C4759" t="s">
        <v>3401</v>
      </c>
      <c r="D4759" t="str">
        <f>HYPERLINK("https://rhld.insurance.arkansas.gov/NPILookup?Npi=1982117941","1982117941")</f>
        <v>1982117941</v>
      </c>
      <c r="E4759" t="s">
        <v>3374</v>
      </c>
      <c r="F4759" t="s">
        <v>13</v>
      </c>
      <c r="G4759" s="20">
        <v>1</v>
      </c>
      <c r="H4759" t="s">
        <v>3403</v>
      </c>
      <c r="I4759" t="s">
        <v>32</v>
      </c>
      <c r="J4759" s="9">
        <v>54321</v>
      </c>
      <c r="K4759" s="9" t="s">
        <v>23</v>
      </c>
      <c r="L4759" s="9"/>
    </row>
    <row r="4760" spans="2:12" ht="15" x14ac:dyDescent="0.25">
      <c r="B4760" t="s">
        <v>3400</v>
      </c>
      <c r="C4760" t="s">
        <v>3401</v>
      </c>
      <c r="D4760" t="str">
        <f>HYPERLINK("https://rhld.insurance.arkansas.gov/NPILookup?Npi=1982138764","1982138764")</f>
        <v>1982138764</v>
      </c>
      <c r="E4760" t="s">
        <v>4146</v>
      </c>
      <c r="F4760" t="s">
        <v>13</v>
      </c>
      <c r="G4760" s="20">
        <v>1</v>
      </c>
      <c r="H4760" t="s">
        <v>3403</v>
      </c>
      <c r="I4760" t="s">
        <v>4357</v>
      </c>
      <c r="J4760" s="9">
        <v>54321</v>
      </c>
      <c r="K4760" s="9" t="s">
        <v>23</v>
      </c>
      <c r="L4760" s="9"/>
    </row>
    <row r="4761" spans="2:12" ht="15" x14ac:dyDescent="0.25">
      <c r="B4761" t="s">
        <v>3400</v>
      </c>
      <c r="C4761" t="s">
        <v>3401</v>
      </c>
      <c r="D4761" t="str">
        <f>HYPERLINK("https://rhld.insurance.arkansas.gov/NPILookup?Npi=1982165692","1982165692")</f>
        <v>1982165692</v>
      </c>
      <c r="E4761" t="s">
        <v>1187</v>
      </c>
      <c r="F4761" t="s">
        <v>13</v>
      </c>
      <c r="G4761" s="20">
        <v>1</v>
      </c>
      <c r="H4761" t="s">
        <v>3403</v>
      </c>
      <c r="I4761" t="s">
        <v>32</v>
      </c>
      <c r="J4761" s="9">
        <v>54321</v>
      </c>
      <c r="K4761" s="9" t="s">
        <v>23</v>
      </c>
      <c r="L4761" s="9"/>
    </row>
    <row r="4762" spans="2:12" ht="15" x14ac:dyDescent="0.25">
      <c r="B4762" t="s">
        <v>3400</v>
      </c>
      <c r="C4762" t="s">
        <v>3401</v>
      </c>
      <c r="D4762" t="str">
        <f>HYPERLINK("https://rhld.insurance.arkansas.gov/NPILookup?Npi=1982378683","1982378683")</f>
        <v>1982378683</v>
      </c>
      <c r="E4762" t="s">
        <v>4147</v>
      </c>
      <c r="F4762" t="s">
        <v>13</v>
      </c>
      <c r="G4762" s="20">
        <v>1</v>
      </c>
      <c r="H4762" t="s">
        <v>3403</v>
      </c>
      <c r="I4762" t="s">
        <v>4357</v>
      </c>
      <c r="J4762" s="9">
        <v>54321</v>
      </c>
      <c r="K4762" s="9" t="s">
        <v>23</v>
      </c>
      <c r="L4762" s="9"/>
    </row>
    <row r="4763" spans="2:12" ht="15" x14ac:dyDescent="0.25">
      <c r="B4763" t="s">
        <v>3400</v>
      </c>
      <c r="C4763" t="s">
        <v>3401</v>
      </c>
      <c r="D4763" t="str">
        <f>HYPERLINK("https://rhld.insurance.arkansas.gov/NPILookup?Npi=1982385118","1982385118")</f>
        <v>1982385118</v>
      </c>
      <c r="E4763" t="s">
        <v>3377</v>
      </c>
      <c r="F4763" t="s">
        <v>13</v>
      </c>
      <c r="G4763" s="20">
        <v>1</v>
      </c>
      <c r="H4763" t="s">
        <v>4357</v>
      </c>
      <c r="I4763" t="s">
        <v>4357</v>
      </c>
      <c r="J4763" s="9">
        <v>54321</v>
      </c>
      <c r="K4763" s="9" t="s">
        <v>23</v>
      </c>
      <c r="L4763" s="9"/>
    </row>
    <row r="4764" spans="2:12" ht="15" x14ac:dyDescent="0.25">
      <c r="B4764" t="s">
        <v>3400</v>
      </c>
      <c r="C4764" t="s">
        <v>3401</v>
      </c>
      <c r="D4764" t="str">
        <f>HYPERLINK("https://rhld.insurance.arkansas.gov/NPILookup?Npi=1982398186","1982398186")</f>
        <v>1982398186</v>
      </c>
      <c r="E4764" t="s">
        <v>4148</v>
      </c>
      <c r="F4764" t="s">
        <v>13</v>
      </c>
      <c r="G4764" s="20">
        <v>1</v>
      </c>
      <c r="H4764" t="s">
        <v>3403</v>
      </c>
      <c r="I4764" t="s">
        <v>32</v>
      </c>
      <c r="J4764" s="9">
        <v>54321</v>
      </c>
      <c r="K4764" s="9" t="s">
        <v>23</v>
      </c>
      <c r="L4764" s="9"/>
    </row>
    <row r="4765" spans="2:12" ht="15" x14ac:dyDescent="0.25">
      <c r="B4765" t="s">
        <v>3400</v>
      </c>
      <c r="C4765" t="s">
        <v>3401</v>
      </c>
      <c r="D4765" t="str">
        <f>HYPERLINK("https://rhld.insurance.arkansas.gov/NPILookup?Npi=1982417234","1982417234")</f>
        <v>1982417234</v>
      </c>
      <c r="E4765" t="s">
        <v>3378</v>
      </c>
      <c r="F4765" t="s">
        <v>13</v>
      </c>
      <c r="G4765" s="20">
        <v>1</v>
      </c>
      <c r="H4765" t="s">
        <v>4357</v>
      </c>
      <c r="I4765" t="s">
        <v>4357</v>
      </c>
      <c r="J4765" s="9">
        <v>54321</v>
      </c>
      <c r="K4765" s="9" t="s">
        <v>23</v>
      </c>
      <c r="L4765" s="9"/>
    </row>
    <row r="4766" spans="2:12" ht="15" x14ac:dyDescent="0.25">
      <c r="B4766" t="s">
        <v>3400</v>
      </c>
      <c r="C4766" t="s">
        <v>3401</v>
      </c>
      <c r="D4766" t="str">
        <f>HYPERLINK("https://rhld.insurance.arkansas.gov/NPILookup?Npi=1982418984","1982418984")</f>
        <v>1982418984</v>
      </c>
      <c r="E4766" t="s">
        <v>1892</v>
      </c>
      <c r="F4766" t="s">
        <v>13</v>
      </c>
      <c r="G4766" s="20">
        <v>1</v>
      </c>
      <c r="H4766" t="s">
        <v>4357</v>
      </c>
      <c r="I4766" t="s">
        <v>4357</v>
      </c>
      <c r="J4766" s="9">
        <v>54321</v>
      </c>
      <c r="K4766" s="9" t="s">
        <v>23</v>
      </c>
      <c r="L4766" s="9"/>
    </row>
    <row r="4767" spans="2:12" ht="15" x14ac:dyDescent="0.25">
      <c r="B4767" t="s">
        <v>3400</v>
      </c>
      <c r="C4767" t="s">
        <v>3401</v>
      </c>
      <c r="D4767" t="str">
        <f>HYPERLINK("https://rhld.insurance.arkansas.gov/NPILookup?Npi=1982424420","1982424420")</f>
        <v>1982424420</v>
      </c>
      <c r="E4767" t="s">
        <v>3379</v>
      </c>
      <c r="F4767" t="s">
        <v>13</v>
      </c>
      <c r="G4767" s="20">
        <v>1</v>
      </c>
      <c r="H4767" t="s">
        <v>4357</v>
      </c>
      <c r="I4767" t="s">
        <v>4357</v>
      </c>
      <c r="J4767" s="9">
        <v>54321</v>
      </c>
      <c r="K4767" s="9" t="s">
        <v>23</v>
      </c>
      <c r="L4767" s="9"/>
    </row>
    <row r="4768" spans="2:12" ht="15" x14ac:dyDescent="0.25">
      <c r="B4768" t="s">
        <v>3400</v>
      </c>
      <c r="C4768" t="s">
        <v>3401</v>
      </c>
      <c r="D4768" t="str">
        <f>HYPERLINK("https://rhld.insurance.arkansas.gov/NPILookup?Npi=1982604385","1982604385")</f>
        <v>1982604385</v>
      </c>
      <c r="E4768" t="s">
        <v>4149</v>
      </c>
      <c r="F4768" t="s">
        <v>13</v>
      </c>
      <c r="G4768" s="20">
        <v>1</v>
      </c>
      <c r="H4768" t="s">
        <v>3403</v>
      </c>
      <c r="I4768" t="s">
        <v>4357</v>
      </c>
      <c r="J4768" s="9">
        <v>54321</v>
      </c>
      <c r="K4768" s="9" t="s">
        <v>23</v>
      </c>
      <c r="L4768" s="9"/>
    </row>
    <row r="4769" spans="2:12" ht="15" x14ac:dyDescent="0.25">
      <c r="B4769" t="s">
        <v>3400</v>
      </c>
      <c r="C4769" t="s">
        <v>3401</v>
      </c>
      <c r="D4769" t="str">
        <f>HYPERLINK("https://rhld.insurance.arkansas.gov/NPILookup?Npi=1982616231","1982616231")</f>
        <v>1982616231</v>
      </c>
      <c r="E4769" t="s">
        <v>4150</v>
      </c>
      <c r="F4769" t="s">
        <v>13</v>
      </c>
      <c r="G4769" s="20">
        <v>1</v>
      </c>
      <c r="H4769" t="s">
        <v>3403</v>
      </c>
      <c r="I4769" t="s">
        <v>32</v>
      </c>
      <c r="J4769" s="9">
        <v>54321</v>
      </c>
      <c r="K4769" s="9" t="s">
        <v>23</v>
      </c>
      <c r="L4769" s="9"/>
    </row>
    <row r="4770" spans="2:12" ht="15" x14ac:dyDescent="0.25">
      <c r="B4770" t="s">
        <v>3400</v>
      </c>
      <c r="C4770" t="s">
        <v>3401</v>
      </c>
      <c r="D4770" t="str">
        <f>HYPERLINK("https://rhld.insurance.arkansas.gov/NPILookup?Npi=1982698965","1982698965")</f>
        <v>1982698965</v>
      </c>
      <c r="E4770" t="s">
        <v>4151</v>
      </c>
      <c r="F4770" t="s">
        <v>13</v>
      </c>
      <c r="G4770" s="20">
        <v>1</v>
      </c>
      <c r="H4770" t="s">
        <v>3403</v>
      </c>
      <c r="I4770" t="s">
        <v>32</v>
      </c>
      <c r="J4770" s="9">
        <v>54321</v>
      </c>
      <c r="K4770" s="9" t="s">
        <v>23</v>
      </c>
      <c r="L4770" s="9"/>
    </row>
    <row r="4771" spans="2:12" ht="15" x14ac:dyDescent="0.25">
      <c r="B4771" t="s">
        <v>3400</v>
      </c>
      <c r="C4771" t="s">
        <v>3401</v>
      </c>
      <c r="D4771" t="str">
        <f>HYPERLINK("https://rhld.insurance.arkansas.gov/NPILookup?Npi=1982990214","1982990214")</f>
        <v>1982990214</v>
      </c>
      <c r="E4771" t="s">
        <v>3385</v>
      </c>
      <c r="F4771" t="s">
        <v>13</v>
      </c>
      <c r="G4771" s="20">
        <v>1</v>
      </c>
      <c r="H4771" t="s">
        <v>4357</v>
      </c>
      <c r="I4771" t="s">
        <v>4357</v>
      </c>
      <c r="J4771" s="9">
        <v>54321</v>
      </c>
      <c r="K4771" s="9" t="s">
        <v>4641</v>
      </c>
      <c r="L4771" s="9"/>
    </row>
    <row r="4772" spans="2:12" ht="15" x14ac:dyDescent="0.25">
      <c r="B4772" t="s">
        <v>3400</v>
      </c>
      <c r="C4772" t="s">
        <v>3401</v>
      </c>
      <c r="D4772" t="str">
        <f>HYPERLINK("https://rhld.insurance.arkansas.gov/NPILookup?Npi=1992026751","1992026751")</f>
        <v>1992026751</v>
      </c>
      <c r="E4772" t="s">
        <v>3387</v>
      </c>
      <c r="F4772" t="s">
        <v>13</v>
      </c>
      <c r="G4772" s="20">
        <v>1</v>
      </c>
      <c r="H4772" t="s">
        <v>4357</v>
      </c>
      <c r="I4772" t="s">
        <v>4357</v>
      </c>
      <c r="J4772" s="9">
        <v>54321</v>
      </c>
      <c r="K4772" s="9" t="s">
        <v>23</v>
      </c>
      <c r="L4772" s="9"/>
    </row>
    <row r="4773" spans="2:12" ht="15" x14ac:dyDescent="0.25">
      <c r="B4773" t="s">
        <v>3400</v>
      </c>
      <c r="C4773" t="s">
        <v>3401</v>
      </c>
      <c r="D4773" t="str">
        <f>HYPERLINK("https://rhld.insurance.arkansas.gov/NPILookup?Npi=1992111546","1992111546")</f>
        <v>1992111546</v>
      </c>
      <c r="E4773" t="s">
        <v>4152</v>
      </c>
      <c r="F4773" t="s">
        <v>13</v>
      </c>
      <c r="G4773" s="20">
        <v>1</v>
      </c>
      <c r="H4773" t="s">
        <v>3403</v>
      </c>
      <c r="I4773" t="s">
        <v>32</v>
      </c>
      <c r="J4773" s="9">
        <v>54321</v>
      </c>
      <c r="K4773" s="9" t="s">
        <v>23</v>
      </c>
      <c r="L4773" s="9"/>
    </row>
    <row r="4774" spans="2:12" ht="15" x14ac:dyDescent="0.25">
      <c r="B4774" t="s">
        <v>3400</v>
      </c>
      <c r="C4774" t="s">
        <v>3401</v>
      </c>
      <c r="D4774" t="str">
        <f>HYPERLINK("https://rhld.insurance.arkansas.gov/NPILookup?Npi=1992125595","1992125595")</f>
        <v>1992125595</v>
      </c>
      <c r="E4774" t="s">
        <v>3389</v>
      </c>
      <c r="F4774" t="s">
        <v>13</v>
      </c>
      <c r="G4774" s="20">
        <v>1</v>
      </c>
      <c r="H4774" t="s">
        <v>3403</v>
      </c>
      <c r="I4774" t="s">
        <v>32</v>
      </c>
      <c r="J4774" s="9">
        <v>54321</v>
      </c>
      <c r="K4774" s="9" t="s">
        <v>23</v>
      </c>
      <c r="L4774" s="9"/>
    </row>
    <row r="4775" spans="2:12" ht="15" x14ac:dyDescent="0.25">
      <c r="B4775" t="s">
        <v>3400</v>
      </c>
      <c r="C4775" t="s">
        <v>3401</v>
      </c>
      <c r="D4775" t="str">
        <f>HYPERLINK("https://rhld.insurance.arkansas.gov/NPILookup?Npi=1992146955","1992146955")</f>
        <v>1992146955</v>
      </c>
      <c r="E4775" t="s">
        <v>4153</v>
      </c>
      <c r="F4775" t="s">
        <v>12</v>
      </c>
      <c r="G4775" s="20">
        <v>1</v>
      </c>
      <c r="H4775" t="s">
        <v>4338</v>
      </c>
      <c r="I4775" t="s">
        <v>4357</v>
      </c>
      <c r="J4775" s="9">
        <v>54321</v>
      </c>
      <c r="K4775" s="9" t="s">
        <v>23</v>
      </c>
      <c r="L4775" s="9"/>
    </row>
    <row r="4776" spans="2:12" ht="15" x14ac:dyDescent="0.25">
      <c r="B4776" t="s">
        <v>3400</v>
      </c>
      <c r="C4776" t="s">
        <v>3401</v>
      </c>
      <c r="D4776" t="str">
        <f>HYPERLINK("https://rhld.insurance.arkansas.gov/NPILookup?Npi=1992214407","1992214407")</f>
        <v>1992214407</v>
      </c>
      <c r="E4776" t="s">
        <v>3390</v>
      </c>
      <c r="F4776" t="s">
        <v>13</v>
      </c>
      <c r="G4776" s="20">
        <v>1</v>
      </c>
      <c r="H4776" t="s">
        <v>3403</v>
      </c>
      <c r="I4776" t="s">
        <v>4357</v>
      </c>
      <c r="J4776" s="9">
        <v>54321</v>
      </c>
      <c r="K4776" s="9" t="s">
        <v>23</v>
      </c>
      <c r="L4776" s="9"/>
    </row>
    <row r="4777" spans="2:12" ht="15" x14ac:dyDescent="0.25">
      <c r="B4777" t="s">
        <v>3400</v>
      </c>
      <c r="C4777" t="s">
        <v>3401</v>
      </c>
      <c r="D4777" t="str">
        <f>HYPERLINK("https://rhld.insurance.arkansas.gov/NPILookup?Npi=1992313159","1992313159")</f>
        <v>1992313159</v>
      </c>
      <c r="E4777" t="s">
        <v>3392</v>
      </c>
      <c r="F4777" t="s">
        <v>13</v>
      </c>
      <c r="G4777" s="20">
        <v>1</v>
      </c>
      <c r="H4777" t="s">
        <v>4357</v>
      </c>
      <c r="I4777" t="s">
        <v>4357</v>
      </c>
      <c r="J4777" s="9">
        <v>54321</v>
      </c>
      <c r="K4777" s="9" t="s">
        <v>23</v>
      </c>
      <c r="L4777" s="9"/>
    </row>
    <row r="4778" spans="2:12" ht="15" x14ac:dyDescent="0.25">
      <c r="B4778" t="s">
        <v>3400</v>
      </c>
      <c r="C4778" t="s">
        <v>3401</v>
      </c>
      <c r="D4778" t="str">
        <f>HYPERLINK("https://rhld.insurance.arkansas.gov/NPILookup?Npi=1992323083","1992323083")</f>
        <v>1992323083</v>
      </c>
      <c r="E4778" t="s">
        <v>4154</v>
      </c>
      <c r="F4778" t="s">
        <v>13</v>
      </c>
      <c r="G4778" s="20">
        <v>1</v>
      </c>
      <c r="H4778" t="s">
        <v>3403</v>
      </c>
      <c r="I4778" t="s">
        <v>32</v>
      </c>
      <c r="J4778" s="9">
        <v>54321</v>
      </c>
      <c r="K4778" s="9" t="s">
        <v>23</v>
      </c>
      <c r="L4778" s="9"/>
    </row>
    <row r="4779" spans="2:12" ht="15" x14ac:dyDescent="0.25">
      <c r="B4779" t="s">
        <v>3400</v>
      </c>
      <c r="C4779" t="s">
        <v>3401</v>
      </c>
      <c r="D4779" t="str">
        <f>HYPERLINK("https://rhld.insurance.arkansas.gov/NPILookup?Npi=1992331714","1992331714")</f>
        <v>1992331714</v>
      </c>
      <c r="E4779" t="s">
        <v>3393</v>
      </c>
      <c r="F4779" t="s">
        <v>13</v>
      </c>
      <c r="G4779" s="20">
        <v>1</v>
      </c>
      <c r="H4779" t="s">
        <v>3403</v>
      </c>
      <c r="I4779" t="s">
        <v>32</v>
      </c>
      <c r="J4779" s="9">
        <v>54321</v>
      </c>
      <c r="K4779" s="9" t="s">
        <v>23</v>
      </c>
      <c r="L4779" s="9"/>
    </row>
    <row r="4780" spans="2:12" ht="15" x14ac:dyDescent="0.25">
      <c r="B4780" t="s">
        <v>3400</v>
      </c>
      <c r="C4780" t="s">
        <v>3401</v>
      </c>
      <c r="D4780" t="str">
        <f>HYPERLINK("https://rhld.insurance.arkansas.gov/NPILookup?Npi=1992350730","1992350730")</f>
        <v>1992350730</v>
      </c>
      <c r="E4780" t="s">
        <v>4155</v>
      </c>
      <c r="F4780" t="s">
        <v>13</v>
      </c>
      <c r="G4780" s="20">
        <v>1</v>
      </c>
      <c r="H4780" t="s">
        <v>3403</v>
      </c>
      <c r="I4780" t="s">
        <v>32</v>
      </c>
      <c r="J4780" s="9">
        <v>54321</v>
      </c>
      <c r="K4780" s="9" t="s">
        <v>23</v>
      </c>
      <c r="L4780" s="9"/>
    </row>
    <row r="4781" spans="2:12" ht="15" x14ac:dyDescent="0.25">
      <c r="B4781" t="s">
        <v>3400</v>
      </c>
      <c r="C4781" t="s">
        <v>3401</v>
      </c>
      <c r="D4781" t="str">
        <f>HYPERLINK("https://rhld.insurance.arkansas.gov/NPILookup?Npi=1992395966","1992395966")</f>
        <v>1992395966</v>
      </c>
      <c r="E4781" t="s">
        <v>4156</v>
      </c>
      <c r="F4781" t="s">
        <v>13</v>
      </c>
      <c r="G4781" s="20">
        <v>1</v>
      </c>
      <c r="H4781" t="s">
        <v>3403</v>
      </c>
      <c r="I4781" t="s">
        <v>32</v>
      </c>
      <c r="J4781" s="9">
        <v>54321</v>
      </c>
      <c r="K4781" s="9" t="s">
        <v>23</v>
      </c>
      <c r="L4781" s="9"/>
    </row>
    <row r="4782" spans="2:12" ht="15" x14ac:dyDescent="0.25">
      <c r="B4782" t="s">
        <v>3400</v>
      </c>
      <c r="C4782" t="s">
        <v>3401</v>
      </c>
      <c r="D4782" t="str">
        <f>HYPERLINK("https://rhld.insurance.arkansas.gov/NPILookup?Npi=1992423602","1992423602")</f>
        <v>1992423602</v>
      </c>
      <c r="E4782" t="s">
        <v>4157</v>
      </c>
      <c r="F4782" t="s">
        <v>13</v>
      </c>
      <c r="G4782" s="20">
        <v>1</v>
      </c>
      <c r="H4782" t="s">
        <v>3403</v>
      </c>
      <c r="I4782" t="s">
        <v>4357</v>
      </c>
      <c r="J4782" s="9">
        <v>54321</v>
      </c>
      <c r="K4782" s="9" t="s">
        <v>23</v>
      </c>
      <c r="L4782" s="9"/>
    </row>
    <row r="4783" spans="2:12" ht="15" x14ac:dyDescent="0.25">
      <c r="B4783" t="s">
        <v>3400</v>
      </c>
      <c r="C4783" t="s">
        <v>3401</v>
      </c>
      <c r="D4783" t="str">
        <f>HYPERLINK("https://rhld.insurance.arkansas.gov/NPILookup?Npi=1992486161","1992486161")</f>
        <v>1992486161</v>
      </c>
      <c r="E4783" t="s">
        <v>3394</v>
      </c>
      <c r="F4783" t="s">
        <v>13</v>
      </c>
      <c r="G4783" s="20">
        <v>1</v>
      </c>
      <c r="H4783" t="s">
        <v>4357</v>
      </c>
      <c r="I4783" t="s">
        <v>4357</v>
      </c>
      <c r="J4783" s="9">
        <v>54321</v>
      </c>
      <c r="K4783" s="9" t="s">
        <v>23</v>
      </c>
      <c r="L4783" s="9"/>
    </row>
    <row r="4784" spans="2:12" ht="15" x14ac:dyDescent="0.25">
      <c r="B4784" t="s">
        <v>3400</v>
      </c>
      <c r="C4784" t="s">
        <v>3401</v>
      </c>
      <c r="D4784" t="str">
        <f>HYPERLINK("https://rhld.insurance.arkansas.gov/NPILookup?Npi=1992518245","1992518245")</f>
        <v>1992518245</v>
      </c>
      <c r="E4784" t="s">
        <v>3395</v>
      </c>
      <c r="F4784" t="s">
        <v>13</v>
      </c>
      <c r="G4784" s="20">
        <v>1</v>
      </c>
      <c r="H4784" t="s">
        <v>4357</v>
      </c>
      <c r="I4784" t="s">
        <v>4357</v>
      </c>
      <c r="J4784" s="9">
        <v>54321</v>
      </c>
      <c r="K4784" s="9" t="s">
        <v>23</v>
      </c>
      <c r="L4784" s="9"/>
    </row>
    <row r="4785" spans="1:12" ht="15" x14ac:dyDescent="0.25">
      <c r="B4785" t="s">
        <v>3400</v>
      </c>
      <c r="C4785" t="s">
        <v>3401</v>
      </c>
      <c r="D4785" t="str">
        <f>HYPERLINK("https://rhld.insurance.arkansas.gov/NPILookup?Npi=1992523864","1992523864")</f>
        <v>1992523864</v>
      </c>
      <c r="E4785" t="s">
        <v>1895</v>
      </c>
      <c r="F4785" t="s">
        <v>13</v>
      </c>
      <c r="G4785" s="20">
        <v>1</v>
      </c>
      <c r="H4785" t="s">
        <v>4357</v>
      </c>
      <c r="I4785" t="s">
        <v>4357</v>
      </c>
      <c r="J4785" s="9">
        <v>54321</v>
      </c>
      <c r="K4785" s="9" t="s">
        <v>23</v>
      </c>
      <c r="L4785" s="9"/>
    </row>
    <row r="4786" spans="1:12" ht="15" x14ac:dyDescent="0.25">
      <c r="B4786" t="s">
        <v>3400</v>
      </c>
      <c r="C4786" t="s">
        <v>3401</v>
      </c>
      <c r="D4786" t="str">
        <f>HYPERLINK("https://rhld.insurance.arkansas.gov/NPILookup?Npi=1992533285","1992533285")</f>
        <v>1992533285</v>
      </c>
      <c r="E4786" t="s">
        <v>4158</v>
      </c>
      <c r="F4786" t="s">
        <v>13</v>
      </c>
      <c r="G4786" s="20">
        <v>1</v>
      </c>
      <c r="H4786" t="s">
        <v>3403</v>
      </c>
      <c r="I4786" t="s">
        <v>4357</v>
      </c>
      <c r="J4786" s="9">
        <v>54321</v>
      </c>
      <c r="K4786" s="9" t="s">
        <v>23</v>
      </c>
      <c r="L4786" s="9"/>
    </row>
    <row r="4787" spans="1:12" ht="15" x14ac:dyDescent="0.25">
      <c r="B4787" t="s">
        <v>3400</v>
      </c>
      <c r="C4787" t="s">
        <v>3401</v>
      </c>
      <c r="D4787" t="str">
        <f>HYPERLINK("https://rhld.insurance.arkansas.gov/NPILookup?Npi=1992542450","1992542450")</f>
        <v>1992542450</v>
      </c>
      <c r="E4787" t="s">
        <v>3396</v>
      </c>
      <c r="F4787" t="s">
        <v>13</v>
      </c>
      <c r="G4787" s="20">
        <v>1</v>
      </c>
      <c r="H4787" t="s">
        <v>4357</v>
      </c>
      <c r="I4787" t="s">
        <v>4357</v>
      </c>
      <c r="J4787" s="9">
        <v>54321</v>
      </c>
      <c r="K4787" s="9" t="s">
        <v>23</v>
      </c>
      <c r="L4787" s="9"/>
    </row>
    <row r="4788" spans="1:12" ht="15" x14ac:dyDescent="0.25">
      <c r="B4788" t="s">
        <v>3400</v>
      </c>
      <c r="C4788" t="s">
        <v>3401</v>
      </c>
      <c r="D4788" t="str">
        <f>HYPERLINK("https://rhld.insurance.arkansas.gov/NPILookup?Npi=1992733422","1992733422")</f>
        <v>1992733422</v>
      </c>
      <c r="E4788" t="s">
        <v>937</v>
      </c>
      <c r="F4788" t="s">
        <v>13</v>
      </c>
      <c r="G4788" s="20">
        <v>1</v>
      </c>
      <c r="H4788" t="s">
        <v>3403</v>
      </c>
      <c r="I4788" t="s">
        <v>32</v>
      </c>
      <c r="J4788" s="9">
        <v>54321</v>
      </c>
      <c r="K4788" s="9" t="s">
        <v>23</v>
      </c>
      <c r="L4788" s="9"/>
    </row>
    <row r="4789" spans="1:12" ht="15" x14ac:dyDescent="0.25">
      <c r="B4789" t="s">
        <v>3400</v>
      </c>
      <c r="C4789" t="s">
        <v>3401</v>
      </c>
      <c r="D4789" t="str">
        <f>HYPERLINK("https://rhld.insurance.arkansas.gov/NPILookup?Npi=1992761860","1992761860")</f>
        <v>1992761860</v>
      </c>
      <c r="E4789" t="s">
        <v>4159</v>
      </c>
      <c r="F4789" t="s">
        <v>13</v>
      </c>
      <c r="G4789" s="20">
        <v>1</v>
      </c>
      <c r="H4789" t="s">
        <v>3403</v>
      </c>
      <c r="I4789" t="s">
        <v>32</v>
      </c>
      <c r="J4789" s="9">
        <v>54321</v>
      </c>
      <c r="K4789" s="23" t="s">
        <v>4639</v>
      </c>
      <c r="L4789" s="23"/>
    </row>
    <row r="4790" spans="1:12" ht="15" x14ac:dyDescent="0.25">
      <c r="B4790" t="s">
        <v>3400</v>
      </c>
      <c r="C4790" t="s">
        <v>3401</v>
      </c>
      <c r="D4790" t="str">
        <f>HYPERLINK("https://rhld.insurance.arkansas.gov/NPILookup?Npi=1992765010","1992765010")</f>
        <v>1992765010</v>
      </c>
      <c r="E4790" t="s">
        <v>4160</v>
      </c>
      <c r="F4790" t="s">
        <v>13</v>
      </c>
      <c r="G4790" s="20">
        <v>1</v>
      </c>
      <c r="H4790" t="s">
        <v>3403</v>
      </c>
      <c r="I4790" t="s">
        <v>32</v>
      </c>
      <c r="J4790" s="9">
        <v>54321</v>
      </c>
      <c r="K4790" s="23" t="s">
        <v>4639</v>
      </c>
      <c r="L4790" s="23"/>
    </row>
    <row r="4791" spans="1:12" ht="15" x14ac:dyDescent="0.25">
      <c r="B4791" t="s">
        <v>3400</v>
      </c>
      <c r="C4791" t="s">
        <v>3401</v>
      </c>
      <c r="D4791" t="str">
        <f>HYPERLINK("https://rhld.insurance.arkansas.gov/NPILookup?Npi=1992768105","1992768105")</f>
        <v>1992768105</v>
      </c>
      <c r="E4791" t="s">
        <v>4161</v>
      </c>
      <c r="F4791" t="s">
        <v>13</v>
      </c>
      <c r="G4791" s="20">
        <v>1</v>
      </c>
      <c r="H4791" t="s">
        <v>3403</v>
      </c>
      <c r="I4791" t="s">
        <v>32</v>
      </c>
      <c r="J4791" s="9">
        <v>54321</v>
      </c>
      <c r="K4791" s="9" t="s">
        <v>23</v>
      </c>
      <c r="L4791" s="9"/>
    </row>
    <row r="4792" spans="1:12" ht="15" x14ac:dyDescent="0.25">
      <c r="B4792" t="s">
        <v>3400</v>
      </c>
      <c r="C4792" t="s">
        <v>3401</v>
      </c>
      <c r="D4792" t="str">
        <f>HYPERLINK("https://rhld.insurance.arkansas.gov/NPILookup?Npi=1992781264","1992781264")</f>
        <v>1992781264</v>
      </c>
      <c r="E4792" t="s">
        <v>4162</v>
      </c>
      <c r="F4792" t="s">
        <v>13</v>
      </c>
      <c r="G4792" s="20">
        <v>1</v>
      </c>
      <c r="H4792" t="s">
        <v>3403</v>
      </c>
      <c r="I4792" t="s">
        <v>32</v>
      </c>
      <c r="J4792" s="9">
        <v>54321</v>
      </c>
      <c r="K4792" s="23" t="s">
        <v>4641</v>
      </c>
      <c r="L4792" s="23"/>
    </row>
    <row r="4793" spans="1:12" ht="15" x14ac:dyDescent="0.25">
      <c r="A4793" s="24"/>
      <c r="B4793" s="21" t="s">
        <v>4163</v>
      </c>
      <c r="C4793" s="21" t="s">
        <v>4164</v>
      </c>
      <c r="D4793" s="21" t="str">
        <f>HYPERLINK("https://rhld.insurance.arkansas.gov/NPILookup?Npi=1003227166","1003227166")</f>
        <v>1003227166</v>
      </c>
      <c r="E4793" s="21" t="s">
        <v>350</v>
      </c>
      <c r="F4793" s="21" t="s">
        <v>12</v>
      </c>
      <c r="G4793" s="22">
        <v>1</v>
      </c>
      <c r="H4793" s="21" t="s">
        <v>4338</v>
      </c>
      <c r="I4793" s="21" t="s">
        <v>32</v>
      </c>
      <c r="J4793" s="9">
        <v>54321</v>
      </c>
      <c r="K4793" s="23" t="s">
        <v>4639</v>
      </c>
      <c r="L4793" s="23"/>
    </row>
    <row r="4794" spans="1:12" ht="15" x14ac:dyDescent="0.25">
      <c r="A4794" s="24"/>
      <c r="B4794" s="21" t="s">
        <v>4163</v>
      </c>
      <c r="C4794" s="21" t="s">
        <v>4164</v>
      </c>
      <c r="D4794" s="21" t="str">
        <f>HYPERLINK("https://rhld.insurance.arkansas.gov/NPILookup?Npi=1003255357","1003255357")</f>
        <v>1003255357</v>
      </c>
      <c r="E4794" s="21" t="s">
        <v>4165</v>
      </c>
      <c r="F4794" s="21" t="s">
        <v>12</v>
      </c>
      <c r="G4794" s="22">
        <v>1</v>
      </c>
      <c r="H4794" s="21" t="s">
        <v>4338</v>
      </c>
      <c r="I4794" s="21" t="s">
        <v>32</v>
      </c>
      <c r="J4794" s="9">
        <v>54321</v>
      </c>
      <c r="K4794" s="23" t="s">
        <v>4639</v>
      </c>
      <c r="L4794" s="23"/>
    </row>
    <row r="4795" spans="1:12" ht="15" x14ac:dyDescent="0.25">
      <c r="B4795" t="s">
        <v>4163</v>
      </c>
      <c r="C4795" t="s">
        <v>4164</v>
      </c>
      <c r="D4795" t="str">
        <f>HYPERLINK("https://rhld.insurance.arkansas.gov/NPILookup?Npi=1003872714","1003872714")</f>
        <v>1003872714</v>
      </c>
      <c r="E4795" t="s">
        <v>4166</v>
      </c>
      <c r="F4795" t="s">
        <v>13</v>
      </c>
      <c r="G4795" s="20">
        <v>1</v>
      </c>
      <c r="H4795" t="s">
        <v>87</v>
      </c>
      <c r="I4795" t="s">
        <v>4357</v>
      </c>
      <c r="J4795" s="9">
        <v>54321</v>
      </c>
      <c r="K4795" s="9" t="s">
        <v>23</v>
      </c>
      <c r="L4795" s="9"/>
    </row>
    <row r="4796" spans="1:12" ht="15" x14ac:dyDescent="0.25">
      <c r="A4796" s="24"/>
      <c r="B4796" s="21" t="s">
        <v>4163</v>
      </c>
      <c r="C4796" s="21" t="s">
        <v>4164</v>
      </c>
      <c r="D4796" s="21" t="str">
        <f>HYPERLINK("https://rhld.insurance.arkansas.gov/NPILookup?Npi=1013051473","1013051473")</f>
        <v>1013051473</v>
      </c>
      <c r="E4796" s="21" t="s">
        <v>4167</v>
      </c>
      <c r="F4796" s="21" t="s">
        <v>12</v>
      </c>
      <c r="G4796" s="22">
        <v>1</v>
      </c>
      <c r="H4796" s="21" t="s">
        <v>4338</v>
      </c>
      <c r="I4796" s="21" t="s">
        <v>4357</v>
      </c>
      <c r="J4796" s="9">
        <v>54321</v>
      </c>
      <c r="K4796" s="23" t="s">
        <v>4639</v>
      </c>
      <c r="L4796" s="23"/>
    </row>
    <row r="4797" spans="1:12" ht="15" x14ac:dyDescent="0.25">
      <c r="A4797" s="24"/>
      <c r="B4797" s="21" t="s">
        <v>4163</v>
      </c>
      <c r="C4797" s="21" t="s">
        <v>4164</v>
      </c>
      <c r="D4797" s="21" t="str">
        <f>HYPERLINK("https://rhld.insurance.arkansas.gov/NPILookup?Npi=1013983071","1013983071")</f>
        <v>1013983071</v>
      </c>
      <c r="E4797" s="21" t="s">
        <v>4168</v>
      </c>
      <c r="F4797" s="21" t="s">
        <v>12</v>
      </c>
      <c r="G4797" s="22">
        <v>1</v>
      </c>
      <c r="H4797" s="21" t="s">
        <v>141</v>
      </c>
      <c r="I4797" s="21" t="s">
        <v>32</v>
      </c>
      <c r="J4797" s="9">
        <v>54321</v>
      </c>
      <c r="K4797" s="23" t="s">
        <v>4639</v>
      </c>
      <c r="L4797" s="23"/>
    </row>
    <row r="4798" spans="1:12" ht="15" x14ac:dyDescent="0.25">
      <c r="A4798" s="24"/>
      <c r="B4798" s="21" t="s">
        <v>4163</v>
      </c>
      <c r="C4798" s="21" t="s">
        <v>4164</v>
      </c>
      <c r="D4798" s="21" t="str">
        <f>HYPERLINK("https://rhld.insurance.arkansas.gov/NPILookup?Npi=1023283710","1023283710")</f>
        <v>1023283710</v>
      </c>
      <c r="E4798" s="21" t="s">
        <v>4169</v>
      </c>
      <c r="F4798" s="21" t="s">
        <v>12</v>
      </c>
      <c r="G4798" s="22">
        <v>1</v>
      </c>
      <c r="H4798" s="21" t="s">
        <v>4338</v>
      </c>
      <c r="I4798" s="21" t="s">
        <v>32</v>
      </c>
      <c r="J4798" s="9">
        <v>54321</v>
      </c>
      <c r="K4798" s="23" t="s">
        <v>4639</v>
      </c>
      <c r="L4798" s="23"/>
    </row>
    <row r="4799" spans="1:12" ht="15" x14ac:dyDescent="0.25">
      <c r="B4799" t="s">
        <v>4163</v>
      </c>
      <c r="C4799" t="s">
        <v>4164</v>
      </c>
      <c r="D4799" t="str">
        <f>HYPERLINK("https://rhld.insurance.arkansas.gov/NPILookup?Npi=1033161146","1033161146")</f>
        <v>1033161146</v>
      </c>
      <c r="E4799" t="s">
        <v>4170</v>
      </c>
      <c r="F4799" t="s">
        <v>13</v>
      </c>
      <c r="G4799" s="20">
        <v>1</v>
      </c>
      <c r="H4799" t="s">
        <v>87</v>
      </c>
      <c r="I4799" t="s">
        <v>32</v>
      </c>
      <c r="J4799" s="9">
        <v>54321</v>
      </c>
      <c r="K4799" s="23" t="s">
        <v>4639</v>
      </c>
      <c r="L4799" s="23"/>
    </row>
    <row r="4800" spans="1:12" ht="15" x14ac:dyDescent="0.25">
      <c r="A4800" s="24"/>
      <c r="B4800" s="21" t="s">
        <v>4163</v>
      </c>
      <c r="C4800" s="21" t="s">
        <v>4164</v>
      </c>
      <c r="D4800" s="21" t="str">
        <f>HYPERLINK("https://rhld.insurance.arkansas.gov/NPILookup?Npi=1033193966","1033193966")</f>
        <v>1033193966</v>
      </c>
      <c r="E4800" s="21" t="s">
        <v>4171</v>
      </c>
      <c r="F4800" s="21" t="s">
        <v>12</v>
      </c>
      <c r="G4800" s="22">
        <v>1</v>
      </c>
      <c r="H4800" s="21" t="s">
        <v>4338</v>
      </c>
      <c r="I4800" s="21" t="s">
        <v>32</v>
      </c>
      <c r="J4800" s="9">
        <v>54321</v>
      </c>
      <c r="K4800" s="23" t="s">
        <v>4639</v>
      </c>
      <c r="L4800" s="23"/>
    </row>
    <row r="4801" spans="1:12" ht="15" x14ac:dyDescent="0.25">
      <c r="A4801" s="24"/>
      <c r="B4801" s="21" t="s">
        <v>4163</v>
      </c>
      <c r="C4801" s="21" t="s">
        <v>4164</v>
      </c>
      <c r="D4801" s="21" t="str">
        <f>HYPERLINK("https://rhld.insurance.arkansas.gov/NPILookup?Npi=1033283155","1033283155")</f>
        <v>1033283155</v>
      </c>
      <c r="E4801" s="21" t="s">
        <v>380</v>
      </c>
      <c r="F4801" s="21" t="s">
        <v>12</v>
      </c>
      <c r="G4801" s="22">
        <v>1</v>
      </c>
      <c r="H4801" s="21" t="s">
        <v>4338</v>
      </c>
      <c r="I4801" s="21" t="s">
        <v>32</v>
      </c>
      <c r="J4801" s="9">
        <v>54321</v>
      </c>
      <c r="K4801" s="23" t="s">
        <v>23</v>
      </c>
      <c r="L4801" s="23"/>
    </row>
    <row r="4802" spans="1:12" ht="15" x14ac:dyDescent="0.25">
      <c r="A4802" s="24"/>
      <c r="B4802" s="21" t="s">
        <v>4163</v>
      </c>
      <c r="C4802" s="21" t="s">
        <v>4164</v>
      </c>
      <c r="D4802" s="21" t="str">
        <f>HYPERLINK("https://rhld.insurance.arkansas.gov/NPILookup?Npi=1043410608","1043410608")</f>
        <v>1043410608</v>
      </c>
      <c r="E4802" s="21" t="s">
        <v>1534</v>
      </c>
      <c r="F4802" s="21" t="s">
        <v>12</v>
      </c>
      <c r="G4802" s="22">
        <v>1</v>
      </c>
      <c r="H4802" s="21" t="s">
        <v>4338</v>
      </c>
      <c r="I4802" s="21" t="s">
        <v>32</v>
      </c>
      <c r="J4802" s="9">
        <v>54321</v>
      </c>
      <c r="K4802" s="23" t="s">
        <v>4639</v>
      </c>
      <c r="L4802" s="23"/>
    </row>
    <row r="4803" spans="1:12" ht="15" x14ac:dyDescent="0.25">
      <c r="A4803" s="24"/>
      <c r="B4803" s="21" t="s">
        <v>4163</v>
      </c>
      <c r="C4803" s="21" t="s">
        <v>4164</v>
      </c>
      <c r="D4803" s="21" t="str">
        <f>HYPERLINK("https://rhld.insurance.arkansas.gov/NPILookup?Npi=1043705254","1043705254")</f>
        <v>1043705254</v>
      </c>
      <c r="E4803" s="21" t="s">
        <v>4172</v>
      </c>
      <c r="F4803" s="21" t="s">
        <v>12</v>
      </c>
      <c r="G4803" s="22">
        <v>1</v>
      </c>
      <c r="H4803" s="21" t="s">
        <v>4338</v>
      </c>
      <c r="I4803" s="21" t="s">
        <v>32</v>
      </c>
      <c r="J4803" s="9">
        <v>54321</v>
      </c>
      <c r="K4803" s="9" t="s">
        <v>23</v>
      </c>
      <c r="L4803" s="9"/>
    </row>
    <row r="4804" spans="1:12" ht="15" x14ac:dyDescent="0.25">
      <c r="A4804" s="24"/>
      <c r="B4804" s="21" t="s">
        <v>4163</v>
      </c>
      <c r="C4804" s="21" t="s">
        <v>4164</v>
      </c>
      <c r="D4804" s="21" t="str">
        <f>HYPERLINK("https://rhld.insurance.arkansas.gov/NPILookup?Npi=1104275239","1104275239")</f>
        <v>1104275239</v>
      </c>
      <c r="E4804" s="21" t="s">
        <v>4173</v>
      </c>
      <c r="F4804" s="21" t="s">
        <v>12</v>
      </c>
      <c r="G4804" s="22">
        <v>1</v>
      </c>
      <c r="H4804" s="21" t="s">
        <v>4338</v>
      </c>
      <c r="I4804" s="21" t="s">
        <v>32</v>
      </c>
      <c r="J4804" s="9">
        <v>54321</v>
      </c>
      <c r="K4804" s="23" t="s">
        <v>4639</v>
      </c>
      <c r="L4804" s="23"/>
    </row>
    <row r="4805" spans="1:12" ht="15" x14ac:dyDescent="0.25">
      <c r="A4805" s="24"/>
      <c r="B4805" s="21" t="s">
        <v>4163</v>
      </c>
      <c r="C4805" s="21" t="s">
        <v>4164</v>
      </c>
      <c r="D4805" s="21" t="str">
        <f>HYPERLINK("https://rhld.insurance.arkansas.gov/NPILookup?Npi=1104464445","1104464445")</f>
        <v>1104464445</v>
      </c>
      <c r="E4805" s="21" t="s">
        <v>2257</v>
      </c>
      <c r="F4805" s="21" t="s">
        <v>12</v>
      </c>
      <c r="G4805" s="22">
        <v>1</v>
      </c>
      <c r="H4805" s="21" t="s">
        <v>4338</v>
      </c>
      <c r="I4805" s="21" t="s">
        <v>32</v>
      </c>
      <c r="J4805" s="9">
        <v>54321</v>
      </c>
      <c r="K4805" s="23" t="s">
        <v>4639</v>
      </c>
      <c r="L4805" s="23"/>
    </row>
    <row r="4806" spans="1:12" ht="15" x14ac:dyDescent="0.25">
      <c r="A4806" s="24"/>
      <c r="B4806" s="21" t="s">
        <v>4163</v>
      </c>
      <c r="C4806" s="21" t="s">
        <v>4164</v>
      </c>
      <c r="D4806" s="21" t="str">
        <f>HYPERLINK("https://rhld.insurance.arkansas.gov/NPILookup?Npi=1174184931","1174184931")</f>
        <v>1174184931</v>
      </c>
      <c r="E4806" s="21" t="s">
        <v>4174</v>
      </c>
      <c r="F4806" s="21" t="s">
        <v>12</v>
      </c>
      <c r="G4806" s="22">
        <v>1</v>
      </c>
      <c r="H4806" s="21" t="s">
        <v>4338</v>
      </c>
      <c r="I4806" s="21" t="s">
        <v>32</v>
      </c>
      <c r="J4806" s="9">
        <v>54321</v>
      </c>
      <c r="K4806" s="23" t="s">
        <v>4639</v>
      </c>
      <c r="L4806" s="23"/>
    </row>
    <row r="4807" spans="1:12" ht="15" x14ac:dyDescent="0.25">
      <c r="B4807" t="s">
        <v>4163</v>
      </c>
      <c r="C4807" t="s">
        <v>4164</v>
      </c>
      <c r="D4807" t="str">
        <f>HYPERLINK("https://rhld.insurance.arkansas.gov/NPILookup?Npi=1184202517","1184202517")</f>
        <v>1184202517</v>
      </c>
      <c r="E4807" t="s">
        <v>4175</v>
      </c>
      <c r="F4807" t="s">
        <v>13</v>
      </c>
      <c r="G4807" s="20">
        <v>1</v>
      </c>
      <c r="H4807" t="s">
        <v>87</v>
      </c>
      <c r="I4807" t="s">
        <v>4357</v>
      </c>
      <c r="J4807" s="9">
        <v>54321</v>
      </c>
      <c r="K4807" s="23" t="s">
        <v>4639</v>
      </c>
      <c r="L4807" s="23"/>
    </row>
    <row r="4808" spans="1:12" ht="15" x14ac:dyDescent="0.25">
      <c r="A4808" s="24"/>
      <c r="B4808" s="21" t="s">
        <v>4163</v>
      </c>
      <c r="C4808" s="21" t="s">
        <v>4164</v>
      </c>
      <c r="D4808" s="21" t="str">
        <f>HYPERLINK("https://rhld.insurance.arkansas.gov/NPILookup?Npi=1184631376","1184631376")</f>
        <v>1184631376</v>
      </c>
      <c r="E4808" s="21" t="s">
        <v>4176</v>
      </c>
      <c r="F4808" s="21" t="s">
        <v>12</v>
      </c>
      <c r="G4808" s="22">
        <v>1</v>
      </c>
      <c r="H4808" s="21" t="s">
        <v>4338</v>
      </c>
      <c r="I4808" s="21" t="s">
        <v>32</v>
      </c>
      <c r="J4808" s="9">
        <v>54321</v>
      </c>
      <c r="K4808" s="23" t="s">
        <v>4641</v>
      </c>
      <c r="L4808" s="23"/>
    </row>
    <row r="4809" spans="1:12" ht="15" x14ac:dyDescent="0.25">
      <c r="A4809" s="24"/>
      <c r="B4809" s="21" t="s">
        <v>4163</v>
      </c>
      <c r="C4809" s="21" t="s">
        <v>4164</v>
      </c>
      <c r="D4809" s="21" t="str">
        <f>HYPERLINK("https://rhld.insurance.arkansas.gov/NPILookup?Npi=1205957834","1205957834")</f>
        <v>1205957834</v>
      </c>
      <c r="E4809" s="21" t="s">
        <v>1602</v>
      </c>
      <c r="F4809" s="21" t="s">
        <v>12</v>
      </c>
      <c r="G4809" s="22">
        <v>1</v>
      </c>
      <c r="H4809" s="21" t="s">
        <v>4338</v>
      </c>
      <c r="I4809" s="21" t="s">
        <v>32</v>
      </c>
      <c r="J4809" s="9">
        <v>54321</v>
      </c>
      <c r="K4809" s="23" t="s">
        <v>4639</v>
      </c>
      <c r="L4809" s="23"/>
    </row>
    <row r="4810" spans="1:12" ht="15" x14ac:dyDescent="0.25">
      <c r="A4810" s="24"/>
      <c r="B4810" s="21" t="s">
        <v>4163</v>
      </c>
      <c r="C4810" s="21" t="s">
        <v>4164</v>
      </c>
      <c r="D4810" s="21" t="str">
        <f>HYPERLINK("https://rhld.insurance.arkansas.gov/NPILookup?Npi=1225120017","1225120017")</f>
        <v>1225120017</v>
      </c>
      <c r="E4810" s="21" t="s">
        <v>4177</v>
      </c>
      <c r="F4810" s="21" t="s">
        <v>12</v>
      </c>
      <c r="G4810" s="22">
        <v>1</v>
      </c>
      <c r="H4810" s="21" t="s">
        <v>4338</v>
      </c>
      <c r="I4810" s="21" t="s">
        <v>32</v>
      </c>
      <c r="J4810" s="9">
        <v>54321</v>
      </c>
      <c r="K4810" s="23" t="s">
        <v>4639</v>
      </c>
      <c r="L4810" s="23"/>
    </row>
    <row r="4811" spans="1:12" ht="15" x14ac:dyDescent="0.25">
      <c r="A4811" s="24"/>
      <c r="B4811" s="21" t="s">
        <v>4163</v>
      </c>
      <c r="C4811" s="21" t="s">
        <v>4164</v>
      </c>
      <c r="D4811" s="21" t="str">
        <f>HYPERLINK("https://rhld.insurance.arkansas.gov/NPILookup?Npi=1245230341","1245230341")</f>
        <v>1245230341</v>
      </c>
      <c r="E4811" s="21" t="s">
        <v>4178</v>
      </c>
      <c r="F4811" s="21" t="s">
        <v>12</v>
      </c>
      <c r="G4811" s="22">
        <v>1</v>
      </c>
      <c r="H4811" s="21" t="s">
        <v>4338</v>
      </c>
      <c r="I4811" s="21" t="s">
        <v>32</v>
      </c>
      <c r="J4811" s="9">
        <v>54321</v>
      </c>
      <c r="K4811" s="23" t="s">
        <v>4639</v>
      </c>
      <c r="L4811" s="23"/>
    </row>
    <row r="4812" spans="1:12" ht="15" x14ac:dyDescent="0.25">
      <c r="A4812" s="24"/>
      <c r="B4812" s="21" t="s">
        <v>4163</v>
      </c>
      <c r="C4812" s="21" t="s">
        <v>4164</v>
      </c>
      <c r="D4812" s="21" t="str">
        <f>HYPERLINK("https://rhld.insurance.arkansas.gov/NPILookup?Npi=1285862375","1285862375")</f>
        <v>1285862375</v>
      </c>
      <c r="E4812" s="21" t="s">
        <v>1219</v>
      </c>
      <c r="F4812" s="21" t="s">
        <v>12</v>
      </c>
      <c r="G4812" s="22">
        <v>1</v>
      </c>
      <c r="H4812" s="21" t="s">
        <v>139</v>
      </c>
      <c r="I4812" s="21" t="s">
        <v>4357</v>
      </c>
      <c r="J4812" s="9">
        <v>54321</v>
      </c>
      <c r="K4812" s="9" t="s">
        <v>23</v>
      </c>
      <c r="L4812" s="9"/>
    </row>
    <row r="4813" spans="1:12" ht="15" x14ac:dyDescent="0.25">
      <c r="A4813" s="24"/>
      <c r="B4813" s="21" t="s">
        <v>4163</v>
      </c>
      <c r="C4813" s="21" t="s">
        <v>4164</v>
      </c>
      <c r="D4813" s="21" t="str">
        <f>HYPERLINK("https://rhld.insurance.arkansas.gov/NPILookup?Npi=1295008209","1295008209")</f>
        <v>1295008209</v>
      </c>
      <c r="E4813" s="21" t="s">
        <v>1636</v>
      </c>
      <c r="F4813" s="21" t="s">
        <v>12</v>
      </c>
      <c r="G4813" s="22">
        <v>1</v>
      </c>
      <c r="H4813" s="21" t="s">
        <v>4338</v>
      </c>
      <c r="I4813" s="21" t="s">
        <v>32</v>
      </c>
      <c r="J4813" s="9">
        <v>54321</v>
      </c>
      <c r="K4813" s="23" t="s">
        <v>4639</v>
      </c>
      <c r="L4813" s="23"/>
    </row>
    <row r="4814" spans="1:12" ht="15" x14ac:dyDescent="0.25">
      <c r="A4814" s="24"/>
      <c r="B4814" s="21" t="s">
        <v>4163</v>
      </c>
      <c r="C4814" s="21" t="s">
        <v>4164</v>
      </c>
      <c r="D4814" s="21" t="str">
        <f>HYPERLINK("https://rhld.insurance.arkansas.gov/NPILookup?Npi=1336309574","1336309574")</f>
        <v>1336309574</v>
      </c>
      <c r="E4814" s="21" t="s">
        <v>4179</v>
      </c>
      <c r="F4814" s="21" t="s">
        <v>12</v>
      </c>
      <c r="G4814" s="22">
        <v>1</v>
      </c>
      <c r="H4814" s="21" t="s">
        <v>4338</v>
      </c>
      <c r="I4814" s="21" t="s">
        <v>32</v>
      </c>
      <c r="J4814" s="9">
        <v>54321</v>
      </c>
      <c r="K4814" s="23" t="s">
        <v>4639</v>
      </c>
      <c r="L4814" s="23"/>
    </row>
    <row r="4815" spans="1:12" ht="15" x14ac:dyDescent="0.25">
      <c r="A4815" s="24"/>
      <c r="B4815" s="21" t="s">
        <v>4163</v>
      </c>
      <c r="C4815" s="21" t="s">
        <v>4164</v>
      </c>
      <c r="D4815" s="21" t="str">
        <f>HYPERLINK("https://rhld.insurance.arkansas.gov/NPILookup?Npi=1386680528","1386680528")</f>
        <v>1386680528</v>
      </c>
      <c r="E4815" s="21" t="s">
        <v>4180</v>
      </c>
      <c r="F4815" s="21" t="s">
        <v>12</v>
      </c>
      <c r="G4815" s="22">
        <v>1</v>
      </c>
      <c r="H4815" s="21" t="s">
        <v>4338</v>
      </c>
      <c r="I4815" s="21" t="s">
        <v>32</v>
      </c>
      <c r="J4815" s="9">
        <v>54321</v>
      </c>
      <c r="K4815" s="23" t="s">
        <v>4639</v>
      </c>
      <c r="L4815" s="23"/>
    </row>
    <row r="4816" spans="1:12" ht="15" x14ac:dyDescent="0.25">
      <c r="B4816" t="s">
        <v>4163</v>
      </c>
      <c r="C4816" t="s">
        <v>4164</v>
      </c>
      <c r="D4816" t="str">
        <f>HYPERLINK("https://rhld.insurance.arkansas.gov/NPILookup?Npi=1407274277","1407274277")</f>
        <v>1407274277</v>
      </c>
      <c r="E4816" t="s">
        <v>4181</v>
      </c>
      <c r="F4816" t="s">
        <v>13</v>
      </c>
      <c r="G4816" s="20">
        <v>1</v>
      </c>
      <c r="H4816" t="s">
        <v>1533</v>
      </c>
      <c r="I4816" t="s">
        <v>4357</v>
      </c>
      <c r="J4816" s="9">
        <v>54321</v>
      </c>
      <c r="K4816" s="23" t="s">
        <v>4639</v>
      </c>
      <c r="L4816" s="23"/>
    </row>
    <row r="4817" spans="1:12" ht="15" x14ac:dyDescent="0.25">
      <c r="A4817" s="24"/>
      <c r="B4817" s="21" t="s">
        <v>4163</v>
      </c>
      <c r="C4817" s="21" t="s">
        <v>4164</v>
      </c>
      <c r="D4817" s="21" t="str">
        <f>HYPERLINK("https://rhld.insurance.arkansas.gov/NPILookup?Npi=1407880305","1407880305")</f>
        <v>1407880305</v>
      </c>
      <c r="E4817" s="21" t="s">
        <v>4182</v>
      </c>
      <c r="F4817" s="21" t="s">
        <v>12</v>
      </c>
      <c r="G4817" s="22">
        <v>1</v>
      </c>
      <c r="H4817" s="21" t="s">
        <v>4338</v>
      </c>
      <c r="I4817" s="21" t="s">
        <v>4357</v>
      </c>
      <c r="J4817" s="9">
        <v>54321</v>
      </c>
      <c r="K4817" s="23" t="s">
        <v>4639</v>
      </c>
      <c r="L4817" s="23"/>
    </row>
    <row r="4818" spans="1:12" ht="15" x14ac:dyDescent="0.25">
      <c r="A4818" s="24"/>
      <c r="B4818" s="21" t="s">
        <v>4163</v>
      </c>
      <c r="C4818" s="21" t="s">
        <v>4164</v>
      </c>
      <c r="D4818" s="21" t="str">
        <f>HYPERLINK("https://rhld.insurance.arkansas.gov/NPILookup?Npi=1427144005","1427144005")</f>
        <v>1427144005</v>
      </c>
      <c r="E4818" s="21" t="s">
        <v>1697</v>
      </c>
      <c r="F4818" s="21" t="s">
        <v>12</v>
      </c>
      <c r="G4818" s="22">
        <v>1</v>
      </c>
      <c r="H4818" s="21" t="s">
        <v>4338</v>
      </c>
      <c r="I4818" s="21" t="s">
        <v>32</v>
      </c>
      <c r="J4818" s="9">
        <v>54321</v>
      </c>
      <c r="K4818" s="23" t="s">
        <v>4639</v>
      </c>
      <c r="L4818" s="23"/>
    </row>
    <row r="4819" spans="1:12" ht="15" x14ac:dyDescent="0.25">
      <c r="A4819" s="24"/>
      <c r="B4819" s="21" t="s">
        <v>4163</v>
      </c>
      <c r="C4819" s="21" t="s">
        <v>4164</v>
      </c>
      <c r="D4819" s="21" t="str">
        <f>HYPERLINK("https://rhld.insurance.arkansas.gov/NPILookup?Npi=1457596959","1457596959")</f>
        <v>1457596959</v>
      </c>
      <c r="E4819" s="21" t="s">
        <v>4183</v>
      </c>
      <c r="F4819" s="21" t="s">
        <v>12</v>
      </c>
      <c r="G4819" s="22">
        <v>1</v>
      </c>
      <c r="H4819" s="21" t="s">
        <v>4338</v>
      </c>
      <c r="I4819" s="21" t="s">
        <v>32</v>
      </c>
      <c r="J4819" s="9">
        <v>54321</v>
      </c>
      <c r="K4819" s="23" t="s">
        <v>4641</v>
      </c>
      <c r="L4819" s="23"/>
    </row>
    <row r="4820" spans="1:12" ht="15" x14ac:dyDescent="0.25">
      <c r="A4820" s="24"/>
      <c r="B4820" s="21" t="s">
        <v>4163</v>
      </c>
      <c r="C4820" s="21" t="s">
        <v>4164</v>
      </c>
      <c r="D4820" s="21" t="str">
        <f>HYPERLINK("https://rhld.insurance.arkansas.gov/NPILookup?Npi=1477523215","1477523215")</f>
        <v>1477523215</v>
      </c>
      <c r="E4820" s="21" t="s">
        <v>2721</v>
      </c>
      <c r="F4820" s="21" t="s">
        <v>12</v>
      </c>
      <c r="G4820" s="22">
        <v>1</v>
      </c>
      <c r="H4820" s="21" t="s">
        <v>4338</v>
      </c>
      <c r="I4820" s="21" t="s">
        <v>32</v>
      </c>
      <c r="J4820" s="9">
        <v>54321</v>
      </c>
      <c r="K4820" s="23" t="s">
        <v>4639</v>
      </c>
      <c r="L4820" s="23"/>
    </row>
    <row r="4821" spans="1:12" ht="15" x14ac:dyDescent="0.25">
      <c r="A4821" s="24"/>
      <c r="B4821" s="21" t="s">
        <v>4163</v>
      </c>
      <c r="C4821" s="21" t="s">
        <v>4164</v>
      </c>
      <c r="D4821" s="21" t="str">
        <f>HYPERLINK("https://rhld.insurance.arkansas.gov/NPILookup?Npi=1477696284","1477696284")</f>
        <v>1477696284</v>
      </c>
      <c r="E4821" s="21" t="s">
        <v>4184</v>
      </c>
      <c r="F4821" s="21" t="s">
        <v>12</v>
      </c>
      <c r="G4821" s="22">
        <v>1</v>
      </c>
      <c r="H4821" s="21" t="s">
        <v>4338</v>
      </c>
      <c r="I4821" s="21" t="s">
        <v>32</v>
      </c>
      <c r="J4821" s="9">
        <v>54321</v>
      </c>
      <c r="K4821" s="23" t="s">
        <v>4639</v>
      </c>
      <c r="L4821" s="23"/>
    </row>
    <row r="4822" spans="1:12" ht="15" x14ac:dyDescent="0.25">
      <c r="A4822" s="24"/>
      <c r="B4822" s="21" t="s">
        <v>4163</v>
      </c>
      <c r="C4822" s="21" t="s">
        <v>4164</v>
      </c>
      <c r="D4822" s="21" t="str">
        <f>HYPERLINK("https://rhld.insurance.arkansas.gov/NPILookup?Npi=1518923861","1518923861")</f>
        <v>1518923861</v>
      </c>
      <c r="E4822" s="21" t="s">
        <v>3634</v>
      </c>
      <c r="F4822" s="21" t="s">
        <v>12</v>
      </c>
      <c r="G4822" s="22">
        <v>1</v>
      </c>
      <c r="H4822" s="21" t="s">
        <v>4338</v>
      </c>
      <c r="I4822" s="21" t="s">
        <v>32</v>
      </c>
      <c r="J4822" s="9">
        <v>54321</v>
      </c>
      <c r="K4822" s="23" t="s">
        <v>4639</v>
      </c>
      <c r="L4822" s="23"/>
    </row>
    <row r="4823" spans="1:12" ht="15" x14ac:dyDescent="0.25">
      <c r="A4823" s="24"/>
      <c r="B4823" s="21" t="s">
        <v>4163</v>
      </c>
      <c r="C4823" s="21" t="s">
        <v>4164</v>
      </c>
      <c r="D4823" s="21" t="str">
        <f>HYPERLINK("https://rhld.insurance.arkansas.gov/NPILookup?Npi=1528616927","1528616927")</f>
        <v>1528616927</v>
      </c>
      <c r="E4823" s="21" t="s">
        <v>1731</v>
      </c>
      <c r="F4823" s="21" t="s">
        <v>12</v>
      </c>
      <c r="G4823" s="22">
        <v>1</v>
      </c>
      <c r="H4823" s="21" t="s">
        <v>139</v>
      </c>
      <c r="I4823" s="21" t="s">
        <v>4357</v>
      </c>
      <c r="J4823" s="9">
        <v>54321</v>
      </c>
      <c r="K4823" s="23" t="s">
        <v>4639</v>
      </c>
      <c r="L4823" s="23"/>
    </row>
    <row r="4824" spans="1:12" ht="15" x14ac:dyDescent="0.25">
      <c r="A4824" s="24"/>
      <c r="B4824" s="21" t="s">
        <v>4163</v>
      </c>
      <c r="C4824" s="21" t="s">
        <v>4164</v>
      </c>
      <c r="D4824" s="21" t="str">
        <f>HYPERLINK("https://rhld.insurance.arkansas.gov/NPILookup?Npi=1548581275","1548581275")</f>
        <v>1548581275</v>
      </c>
      <c r="E4824" s="21" t="s">
        <v>4185</v>
      </c>
      <c r="F4824" s="21" t="s">
        <v>12</v>
      </c>
      <c r="G4824" s="22">
        <v>1</v>
      </c>
      <c r="H4824" s="21" t="s">
        <v>4338</v>
      </c>
      <c r="I4824" s="21" t="s">
        <v>32</v>
      </c>
      <c r="J4824" s="9">
        <v>54321</v>
      </c>
      <c r="K4824" s="9" t="s">
        <v>23</v>
      </c>
      <c r="L4824" s="9"/>
    </row>
    <row r="4825" spans="1:12" ht="15" x14ac:dyDescent="0.25">
      <c r="A4825" s="24"/>
      <c r="B4825" s="21" t="s">
        <v>4163</v>
      </c>
      <c r="C4825" s="21" t="s">
        <v>4164</v>
      </c>
      <c r="D4825" s="21" t="str">
        <f>HYPERLINK("https://rhld.insurance.arkansas.gov/NPILookup?Npi=1558744128","1558744128")</f>
        <v>1558744128</v>
      </c>
      <c r="E4825" s="21" t="s">
        <v>4186</v>
      </c>
      <c r="F4825" s="21" t="s">
        <v>12</v>
      </c>
      <c r="G4825" s="22">
        <v>1</v>
      </c>
      <c r="H4825" s="21" t="s">
        <v>4338</v>
      </c>
      <c r="I4825" s="21" t="s">
        <v>32</v>
      </c>
      <c r="J4825" s="9">
        <v>54321</v>
      </c>
      <c r="K4825" s="23" t="s">
        <v>4641</v>
      </c>
      <c r="L4825" s="23"/>
    </row>
    <row r="4826" spans="1:12" ht="15" x14ac:dyDescent="0.25">
      <c r="A4826" s="24"/>
      <c r="B4826" s="21" t="s">
        <v>4163</v>
      </c>
      <c r="C4826" s="21" t="s">
        <v>4164</v>
      </c>
      <c r="D4826" s="21" t="str">
        <f>HYPERLINK("https://rhld.insurance.arkansas.gov/NPILookup?Npi=1609863562","1609863562")</f>
        <v>1609863562</v>
      </c>
      <c r="E4826" s="21" t="s">
        <v>4187</v>
      </c>
      <c r="F4826" s="21" t="s">
        <v>12</v>
      </c>
      <c r="G4826" s="22">
        <v>1</v>
      </c>
      <c r="H4826" s="21" t="s">
        <v>4338</v>
      </c>
      <c r="I4826" s="21" t="s">
        <v>32</v>
      </c>
      <c r="J4826" s="9">
        <v>54321</v>
      </c>
      <c r="K4826" s="23" t="s">
        <v>4641</v>
      </c>
      <c r="L4826" s="23"/>
    </row>
    <row r="4827" spans="1:12" ht="15" x14ac:dyDescent="0.25">
      <c r="A4827" s="24"/>
      <c r="B4827" s="21" t="s">
        <v>4163</v>
      </c>
      <c r="C4827" s="21" t="s">
        <v>4164</v>
      </c>
      <c r="D4827" s="21" t="str">
        <f>HYPERLINK("https://rhld.insurance.arkansas.gov/NPILookup?Npi=1609876515","1609876515")</f>
        <v>1609876515</v>
      </c>
      <c r="E4827" s="21" t="s">
        <v>4188</v>
      </c>
      <c r="F4827" s="21" t="s">
        <v>12</v>
      </c>
      <c r="G4827" s="22">
        <v>1</v>
      </c>
      <c r="H4827" s="21" t="s">
        <v>4338</v>
      </c>
      <c r="I4827" s="21" t="s">
        <v>4357</v>
      </c>
      <c r="J4827" s="9">
        <v>54321</v>
      </c>
      <c r="K4827" s="23" t="s">
        <v>4639</v>
      </c>
      <c r="L4827" s="23"/>
    </row>
    <row r="4828" spans="1:12" ht="15" x14ac:dyDescent="0.25">
      <c r="B4828" t="s">
        <v>4163</v>
      </c>
      <c r="C4828" t="s">
        <v>4164</v>
      </c>
      <c r="D4828" t="str">
        <f>HYPERLINK("https://rhld.insurance.arkansas.gov/NPILookup?Npi=1619995198","1619995198")</f>
        <v>1619995198</v>
      </c>
      <c r="E4828" t="s">
        <v>107</v>
      </c>
      <c r="F4828" t="s">
        <v>13</v>
      </c>
      <c r="G4828" s="20">
        <v>1</v>
      </c>
      <c r="H4828" t="s">
        <v>1533</v>
      </c>
      <c r="I4828" t="s">
        <v>4357</v>
      </c>
      <c r="J4828" s="9">
        <v>54321</v>
      </c>
      <c r="K4828" s="9" t="s">
        <v>23</v>
      </c>
      <c r="L4828" s="9"/>
    </row>
    <row r="4829" spans="1:12" ht="15" x14ac:dyDescent="0.25">
      <c r="A4829" s="24"/>
      <c r="B4829" s="21" t="s">
        <v>4163</v>
      </c>
      <c r="C4829" s="21" t="s">
        <v>4164</v>
      </c>
      <c r="D4829" s="21" t="str">
        <f>HYPERLINK("https://rhld.insurance.arkansas.gov/NPILookup?Npi=1629481577","1629481577")</f>
        <v>1629481577</v>
      </c>
      <c r="E4829" s="21" t="s">
        <v>4189</v>
      </c>
      <c r="F4829" s="21" t="s">
        <v>12</v>
      </c>
      <c r="G4829" s="22">
        <v>1</v>
      </c>
      <c r="H4829" s="21" t="s">
        <v>139</v>
      </c>
      <c r="I4829" s="21" t="s">
        <v>4357</v>
      </c>
      <c r="J4829" s="9">
        <v>54321</v>
      </c>
      <c r="K4829" s="23" t="s">
        <v>4639</v>
      </c>
      <c r="L4829" s="23"/>
    </row>
    <row r="4830" spans="1:12" ht="15" x14ac:dyDescent="0.25">
      <c r="A4830" s="24"/>
      <c r="B4830" s="21" t="s">
        <v>4163</v>
      </c>
      <c r="C4830" s="21" t="s">
        <v>4164</v>
      </c>
      <c r="D4830" s="21" t="str">
        <f>HYPERLINK("https://rhld.insurance.arkansas.gov/NPILookup?Npi=1629504063","1629504063")</f>
        <v>1629504063</v>
      </c>
      <c r="E4830" s="21" t="s">
        <v>1250</v>
      </c>
      <c r="F4830" s="21" t="s">
        <v>12</v>
      </c>
      <c r="G4830" s="22">
        <v>1</v>
      </c>
      <c r="H4830" s="21" t="s">
        <v>4338</v>
      </c>
      <c r="I4830" s="21" t="s">
        <v>4357</v>
      </c>
      <c r="J4830" s="9">
        <v>54321</v>
      </c>
      <c r="K4830" s="23" t="s">
        <v>4639</v>
      </c>
      <c r="L4830" s="23"/>
    </row>
    <row r="4831" spans="1:12" ht="15" x14ac:dyDescent="0.25">
      <c r="A4831" s="24"/>
      <c r="B4831" s="21" t="s">
        <v>4163</v>
      </c>
      <c r="C4831" s="21" t="s">
        <v>4164</v>
      </c>
      <c r="D4831" s="21" t="str">
        <f>HYPERLINK("https://rhld.insurance.arkansas.gov/NPILookup?Npi=1639173396","1639173396")</f>
        <v>1639173396</v>
      </c>
      <c r="E4831" s="21" t="s">
        <v>4190</v>
      </c>
      <c r="F4831" s="21" t="s">
        <v>12</v>
      </c>
      <c r="G4831" s="22">
        <v>1</v>
      </c>
      <c r="H4831" s="21" t="s">
        <v>4338</v>
      </c>
      <c r="I4831" s="21" t="s">
        <v>32</v>
      </c>
      <c r="J4831" s="9">
        <v>54321</v>
      </c>
      <c r="K4831" s="9" t="s">
        <v>4641</v>
      </c>
      <c r="L4831" s="9"/>
    </row>
    <row r="4832" spans="1:12" ht="15" x14ac:dyDescent="0.25">
      <c r="B4832" t="s">
        <v>4163</v>
      </c>
      <c r="C4832" t="s">
        <v>4164</v>
      </c>
      <c r="D4832" t="str">
        <f>HYPERLINK("https://rhld.insurance.arkansas.gov/NPILookup?Npi=1659537827","1659537827")</f>
        <v>1659537827</v>
      </c>
      <c r="E4832" t="s">
        <v>4191</v>
      </c>
      <c r="F4832" t="s">
        <v>13</v>
      </c>
      <c r="G4832" s="20">
        <v>1</v>
      </c>
      <c r="H4832" t="s">
        <v>87</v>
      </c>
      <c r="I4832" t="s">
        <v>4357</v>
      </c>
      <c r="J4832" s="9">
        <v>54321</v>
      </c>
      <c r="K4832" s="23" t="s">
        <v>4639</v>
      </c>
      <c r="L4832" s="23"/>
    </row>
    <row r="4833" spans="1:12" ht="15" x14ac:dyDescent="0.25">
      <c r="A4833" s="24"/>
      <c r="B4833" s="21" t="s">
        <v>4163</v>
      </c>
      <c r="C4833" s="21" t="s">
        <v>4164</v>
      </c>
      <c r="D4833" s="21" t="str">
        <f>HYPERLINK("https://rhld.insurance.arkansas.gov/NPILookup?Npi=1669486007","1669486007")</f>
        <v>1669486007</v>
      </c>
      <c r="E4833" s="21" t="s">
        <v>4192</v>
      </c>
      <c r="F4833" s="21" t="s">
        <v>12</v>
      </c>
      <c r="G4833" s="22">
        <v>1</v>
      </c>
      <c r="H4833" s="21" t="s">
        <v>4338</v>
      </c>
      <c r="I4833" s="21" t="s">
        <v>32</v>
      </c>
      <c r="J4833" s="9">
        <v>54321</v>
      </c>
      <c r="K4833" s="23" t="s">
        <v>4639</v>
      </c>
      <c r="L4833" s="23"/>
    </row>
    <row r="4834" spans="1:12" ht="15" x14ac:dyDescent="0.25">
      <c r="A4834" s="24"/>
      <c r="B4834" s="21" t="s">
        <v>4163</v>
      </c>
      <c r="C4834" s="21" t="s">
        <v>4164</v>
      </c>
      <c r="D4834" s="21" t="str">
        <f>HYPERLINK("https://rhld.insurance.arkansas.gov/NPILookup?Npi=1669562229","1669562229")</f>
        <v>1669562229</v>
      </c>
      <c r="E4834" s="21" t="s">
        <v>4193</v>
      </c>
      <c r="F4834" s="21" t="s">
        <v>12</v>
      </c>
      <c r="G4834" s="22">
        <v>1</v>
      </c>
      <c r="H4834" s="21" t="s">
        <v>4338</v>
      </c>
      <c r="I4834" s="21" t="s">
        <v>32</v>
      </c>
      <c r="J4834" s="9">
        <v>54321</v>
      </c>
      <c r="K4834" s="23" t="s">
        <v>4639</v>
      </c>
      <c r="L4834" s="23"/>
    </row>
    <row r="4835" spans="1:12" ht="15" x14ac:dyDescent="0.25">
      <c r="B4835" t="s">
        <v>4163</v>
      </c>
      <c r="C4835" t="s">
        <v>4164</v>
      </c>
      <c r="D4835" t="str">
        <f>HYPERLINK("https://rhld.insurance.arkansas.gov/NPILookup?Npi=1679683122","1679683122")</f>
        <v>1679683122</v>
      </c>
      <c r="E4835" t="s">
        <v>4194</v>
      </c>
      <c r="F4835" t="s">
        <v>13</v>
      </c>
      <c r="G4835" s="20">
        <v>1</v>
      </c>
      <c r="H4835" t="s">
        <v>1533</v>
      </c>
      <c r="I4835" t="s">
        <v>4357</v>
      </c>
      <c r="J4835" s="9">
        <v>54321</v>
      </c>
      <c r="K4835" s="23" t="s">
        <v>4639</v>
      </c>
      <c r="L4835" s="23"/>
    </row>
    <row r="4836" spans="1:12" ht="15" x14ac:dyDescent="0.25">
      <c r="A4836" s="24"/>
      <c r="B4836" s="21" t="s">
        <v>4163</v>
      </c>
      <c r="C4836" s="21" t="s">
        <v>4164</v>
      </c>
      <c r="D4836" s="21" t="str">
        <f>HYPERLINK("https://rhld.insurance.arkansas.gov/NPILookup?Npi=1689171019","1689171019")</f>
        <v>1689171019</v>
      </c>
      <c r="E4836" s="21" t="s">
        <v>1257</v>
      </c>
      <c r="F4836" s="21" t="s">
        <v>12</v>
      </c>
      <c r="G4836" s="22">
        <v>1</v>
      </c>
      <c r="H4836" s="21" t="s">
        <v>4338</v>
      </c>
      <c r="I4836" s="21" t="s">
        <v>32</v>
      </c>
      <c r="J4836" s="9">
        <v>54321</v>
      </c>
      <c r="K4836" s="23" t="s">
        <v>4639</v>
      </c>
      <c r="L4836" s="23"/>
    </row>
    <row r="4837" spans="1:12" ht="15" x14ac:dyDescent="0.25">
      <c r="A4837" s="24"/>
      <c r="B4837" s="21" t="s">
        <v>4163</v>
      </c>
      <c r="C4837" s="21" t="s">
        <v>4164</v>
      </c>
      <c r="D4837" s="21" t="str">
        <f>HYPERLINK("https://rhld.insurance.arkansas.gov/NPILookup?Npi=1689979783","1689979783")</f>
        <v>1689979783</v>
      </c>
      <c r="E4837" s="21" t="s">
        <v>4195</v>
      </c>
      <c r="F4837" s="21" t="s">
        <v>12</v>
      </c>
      <c r="G4837" s="22">
        <v>1</v>
      </c>
      <c r="H4837" s="21" t="s">
        <v>4338</v>
      </c>
      <c r="I4837" s="21" t="s">
        <v>32</v>
      </c>
      <c r="J4837" s="9">
        <v>54321</v>
      </c>
      <c r="K4837" s="23" t="s">
        <v>4639</v>
      </c>
      <c r="L4837" s="23"/>
    </row>
    <row r="4838" spans="1:12" ht="15" x14ac:dyDescent="0.25">
      <c r="A4838" s="24"/>
      <c r="B4838" s="21" t="s">
        <v>4163</v>
      </c>
      <c r="C4838" s="21" t="s">
        <v>4164</v>
      </c>
      <c r="D4838" s="21" t="str">
        <f>HYPERLINK("https://rhld.insurance.arkansas.gov/NPILookup?Npi=1699865253","1699865253")</f>
        <v>1699865253</v>
      </c>
      <c r="E4838" s="21" t="s">
        <v>4196</v>
      </c>
      <c r="F4838" s="21" t="s">
        <v>12</v>
      </c>
      <c r="G4838" s="22">
        <v>1</v>
      </c>
      <c r="H4838" s="21" t="s">
        <v>4338</v>
      </c>
      <c r="I4838" s="21" t="s">
        <v>32</v>
      </c>
      <c r="J4838" s="9">
        <v>54321</v>
      </c>
      <c r="K4838" s="23" t="s">
        <v>4639</v>
      </c>
      <c r="L4838" s="23"/>
    </row>
    <row r="4839" spans="1:12" ht="15" x14ac:dyDescent="0.25">
      <c r="A4839" s="24"/>
      <c r="B4839" s="21" t="s">
        <v>4163</v>
      </c>
      <c r="C4839" s="21" t="s">
        <v>4164</v>
      </c>
      <c r="D4839" s="21" t="str">
        <f>HYPERLINK("https://rhld.insurance.arkansas.gov/NPILookup?Npi=1699904623","1699904623")</f>
        <v>1699904623</v>
      </c>
      <c r="E4839" s="21" t="s">
        <v>1259</v>
      </c>
      <c r="F4839" s="21" t="s">
        <v>12</v>
      </c>
      <c r="G4839" s="22">
        <v>1</v>
      </c>
      <c r="H4839" s="21" t="s">
        <v>4338</v>
      </c>
      <c r="I4839" s="21" t="s">
        <v>32</v>
      </c>
      <c r="J4839" s="9">
        <v>54321</v>
      </c>
      <c r="K4839" s="23" t="s">
        <v>4639</v>
      </c>
      <c r="L4839" s="23"/>
    </row>
    <row r="4840" spans="1:12" ht="15" x14ac:dyDescent="0.25">
      <c r="A4840" s="24"/>
      <c r="B4840" s="21" t="s">
        <v>4163</v>
      </c>
      <c r="C4840" s="21" t="s">
        <v>4164</v>
      </c>
      <c r="D4840" s="21" t="str">
        <f>HYPERLINK("https://rhld.insurance.arkansas.gov/NPILookup?Npi=1699982884","1699982884")</f>
        <v>1699982884</v>
      </c>
      <c r="E4840" s="21" t="s">
        <v>4197</v>
      </c>
      <c r="F4840" s="21" t="s">
        <v>12</v>
      </c>
      <c r="G4840" s="22">
        <v>1</v>
      </c>
      <c r="H4840" s="21" t="s">
        <v>4338</v>
      </c>
      <c r="I4840" s="21" t="s">
        <v>32</v>
      </c>
      <c r="J4840" s="9">
        <v>54321</v>
      </c>
      <c r="K4840" s="23" t="s">
        <v>4639</v>
      </c>
      <c r="L4840" s="23"/>
    </row>
    <row r="4841" spans="1:12" ht="15" x14ac:dyDescent="0.25">
      <c r="A4841" s="24"/>
      <c r="B4841" s="21" t="s">
        <v>4163</v>
      </c>
      <c r="C4841" s="21" t="s">
        <v>4164</v>
      </c>
      <c r="D4841" s="21" t="str">
        <f>HYPERLINK("https://rhld.insurance.arkansas.gov/NPILookup?Npi=1710964226","1710964226")</f>
        <v>1710964226</v>
      </c>
      <c r="E4841" s="21" t="s">
        <v>1796</v>
      </c>
      <c r="F4841" s="21" t="s">
        <v>12</v>
      </c>
      <c r="G4841" s="22">
        <v>1</v>
      </c>
      <c r="H4841" s="21" t="s">
        <v>4338</v>
      </c>
      <c r="I4841" s="21" t="s">
        <v>32</v>
      </c>
      <c r="J4841" s="9">
        <v>54321</v>
      </c>
      <c r="K4841" s="23" t="s">
        <v>4639</v>
      </c>
      <c r="L4841" s="23"/>
    </row>
    <row r="4842" spans="1:12" ht="15" x14ac:dyDescent="0.25">
      <c r="A4842" s="24"/>
      <c r="B4842" s="21" t="s">
        <v>4163</v>
      </c>
      <c r="C4842" s="21" t="s">
        <v>4164</v>
      </c>
      <c r="D4842" s="21" t="str">
        <f>HYPERLINK("https://rhld.insurance.arkansas.gov/NPILookup?Npi=1730342460","1730342460")</f>
        <v>1730342460</v>
      </c>
      <c r="E4842" s="21" t="s">
        <v>4198</v>
      </c>
      <c r="F4842" s="21" t="s">
        <v>12</v>
      </c>
      <c r="G4842" s="22">
        <v>1</v>
      </c>
      <c r="H4842" s="21" t="s">
        <v>4338</v>
      </c>
      <c r="I4842" s="21" t="s">
        <v>4357</v>
      </c>
      <c r="J4842" s="9">
        <v>54321</v>
      </c>
      <c r="K4842" s="23" t="s">
        <v>4639</v>
      </c>
      <c r="L4842" s="23"/>
    </row>
    <row r="4843" spans="1:12" ht="15" x14ac:dyDescent="0.25">
      <c r="A4843" s="24"/>
      <c r="B4843" s="21" t="s">
        <v>4163</v>
      </c>
      <c r="C4843" s="21" t="s">
        <v>4164</v>
      </c>
      <c r="D4843" s="21" t="str">
        <f>HYPERLINK("https://rhld.insurance.arkansas.gov/NPILookup?Npi=1730495532","1730495532")</f>
        <v>1730495532</v>
      </c>
      <c r="E4843" s="21" t="s">
        <v>4199</v>
      </c>
      <c r="F4843" s="21" t="s">
        <v>12</v>
      </c>
      <c r="G4843" s="22">
        <v>1</v>
      </c>
      <c r="H4843" s="21" t="s">
        <v>4338</v>
      </c>
      <c r="I4843" s="21" t="s">
        <v>32</v>
      </c>
      <c r="J4843" s="9">
        <v>54321</v>
      </c>
      <c r="K4843" s="23" t="s">
        <v>4639</v>
      </c>
      <c r="L4843" s="23"/>
    </row>
    <row r="4844" spans="1:12" ht="15" x14ac:dyDescent="0.25">
      <c r="A4844" s="24"/>
      <c r="B4844" s="21" t="s">
        <v>4163</v>
      </c>
      <c r="C4844" s="21" t="s">
        <v>4164</v>
      </c>
      <c r="D4844" s="21" t="str">
        <f>HYPERLINK("https://rhld.insurance.arkansas.gov/NPILookup?Npi=1740247444","1740247444")</f>
        <v>1740247444</v>
      </c>
      <c r="E4844" s="21" t="s">
        <v>1804</v>
      </c>
      <c r="F4844" s="21" t="s">
        <v>12</v>
      </c>
      <c r="G4844" s="22">
        <v>1</v>
      </c>
      <c r="H4844" s="21" t="s">
        <v>4338</v>
      </c>
      <c r="I4844" s="21" t="s">
        <v>4357</v>
      </c>
      <c r="J4844" s="9">
        <v>54321</v>
      </c>
      <c r="K4844" s="23" t="s">
        <v>4639</v>
      </c>
      <c r="L4844" s="23"/>
    </row>
    <row r="4845" spans="1:12" ht="15" x14ac:dyDescent="0.25">
      <c r="A4845" s="24"/>
      <c r="B4845" s="21" t="s">
        <v>4163</v>
      </c>
      <c r="C4845" s="21" t="s">
        <v>4164</v>
      </c>
      <c r="D4845" s="21" t="str">
        <f>HYPERLINK("https://rhld.insurance.arkansas.gov/NPILookup?Npi=1740392919","1740392919")</f>
        <v>1740392919</v>
      </c>
      <c r="E4845" s="21" t="s">
        <v>1263</v>
      </c>
      <c r="F4845" s="21" t="s">
        <v>12</v>
      </c>
      <c r="G4845" s="22">
        <v>1</v>
      </c>
      <c r="H4845" s="21" t="s">
        <v>4338</v>
      </c>
      <c r="I4845" s="21" t="s">
        <v>32</v>
      </c>
      <c r="J4845" s="9">
        <v>54321</v>
      </c>
      <c r="K4845" s="23" t="s">
        <v>4639</v>
      </c>
      <c r="L4845" s="23"/>
    </row>
    <row r="4846" spans="1:12" ht="15" x14ac:dyDescent="0.25">
      <c r="A4846" s="24"/>
      <c r="B4846" s="21" t="s">
        <v>4163</v>
      </c>
      <c r="C4846" s="21" t="s">
        <v>4164</v>
      </c>
      <c r="D4846" s="21" t="str">
        <f>HYPERLINK("https://rhld.insurance.arkansas.gov/NPILookup?Npi=1750308334","1750308334")</f>
        <v>1750308334</v>
      </c>
      <c r="E4846" s="21" t="s">
        <v>1809</v>
      </c>
      <c r="F4846" s="21" t="s">
        <v>12</v>
      </c>
      <c r="G4846" s="22">
        <v>1</v>
      </c>
      <c r="H4846" s="21" t="s">
        <v>4338</v>
      </c>
      <c r="I4846" s="21" t="s">
        <v>32</v>
      </c>
      <c r="J4846" s="9">
        <v>54321</v>
      </c>
      <c r="K4846" s="23" t="s">
        <v>4639</v>
      </c>
      <c r="L4846" s="23"/>
    </row>
    <row r="4847" spans="1:12" ht="15" x14ac:dyDescent="0.25">
      <c r="A4847" s="24"/>
      <c r="B4847" s="21" t="s">
        <v>4163</v>
      </c>
      <c r="C4847" s="21" t="s">
        <v>4164</v>
      </c>
      <c r="D4847" s="21" t="str">
        <f>HYPERLINK("https://rhld.insurance.arkansas.gov/NPILookup?Npi=1770997108","1770997108")</f>
        <v>1770997108</v>
      </c>
      <c r="E4847" s="21" t="s">
        <v>4200</v>
      </c>
      <c r="F4847" s="21" t="s">
        <v>12</v>
      </c>
      <c r="G4847" s="22">
        <v>1</v>
      </c>
      <c r="H4847" s="21" t="s">
        <v>4338</v>
      </c>
      <c r="I4847" s="21" t="s">
        <v>32</v>
      </c>
      <c r="J4847" s="9">
        <v>54321</v>
      </c>
      <c r="K4847" s="23" t="s">
        <v>4639</v>
      </c>
      <c r="L4847" s="23"/>
    </row>
    <row r="4848" spans="1:12" ht="15" x14ac:dyDescent="0.25">
      <c r="A4848" s="24"/>
      <c r="B4848" s="21" t="s">
        <v>4163</v>
      </c>
      <c r="C4848" s="21" t="s">
        <v>4164</v>
      </c>
      <c r="D4848" s="21" t="str">
        <f>HYPERLINK("https://rhld.insurance.arkansas.gov/NPILookup?Npi=1821330895","1821330895")</f>
        <v>1821330895</v>
      </c>
      <c r="E4848" s="21" t="s">
        <v>3169</v>
      </c>
      <c r="F4848" s="21" t="s">
        <v>12</v>
      </c>
      <c r="G4848" s="22">
        <v>1</v>
      </c>
      <c r="H4848" s="21" t="s">
        <v>4338</v>
      </c>
      <c r="I4848" s="21" t="s">
        <v>4357</v>
      </c>
      <c r="J4848" s="9">
        <v>54321</v>
      </c>
      <c r="K4848" s="23" t="s">
        <v>4639</v>
      </c>
      <c r="L4848" s="23"/>
    </row>
    <row r="4849" spans="1:12" ht="15" x14ac:dyDescent="0.25">
      <c r="A4849" s="24"/>
      <c r="B4849" s="21" t="s">
        <v>4163</v>
      </c>
      <c r="C4849" s="21" t="s">
        <v>4164</v>
      </c>
      <c r="D4849" s="21" t="str">
        <f>HYPERLINK("https://rhld.insurance.arkansas.gov/NPILookup?Npi=1831453935","1831453935")</f>
        <v>1831453935</v>
      </c>
      <c r="E4849" s="21" t="s">
        <v>4201</v>
      </c>
      <c r="F4849" s="21" t="s">
        <v>12</v>
      </c>
      <c r="G4849" s="22">
        <v>1</v>
      </c>
      <c r="H4849" s="21" t="s">
        <v>139</v>
      </c>
      <c r="I4849" s="21" t="s">
        <v>32</v>
      </c>
      <c r="J4849" s="9">
        <v>54321</v>
      </c>
      <c r="K4849" s="23" t="s">
        <v>4639</v>
      </c>
      <c r="L4849" s="23"/>
    </row>
    <row r="4850" spans="1:12" ht="15" x14ac:dyDescent="0.25">
      <c r="A4850" s="24"/>
      <c r="B4850" s="21" t="s">
        <v>4163</v>
      </c>
      <c r="C4850" s="21" t="s">
        <v>4164</v>
      </c>
      <c r="D4850" s="21" t="str">
        <f>HYPERLINK("https://rhld.insurance.arkansas.gov/NPILookup?Npi=1851341010","1851341010")</f>
        <v>1851341010</v>
      </c>
      <c r="E4850" s="21" t="s">
        <v>4202</v>
      </c>
      <c r="F4850" s="21" t="s">
        <v>12</v>
      </c>
      <c r="G4850" s="22">
        <v>1</v>
      </c>
      <c r="H4850" s="21" t="s">
        <v>139</v>
      </c>
      <c r="I4850" s="21" t="s">
        <v>32</v>
      </c>
      <c r="J4850" s="9">
        <v>54321</v>
      </c>
      <c r="K4850" s="23" t="s">
        <v>4639</v>
      </c>
      <c r="L4850" s="23"/>
    </row>
    <row r="4851" spans="1:12" ht="15" x14ac:dyDescent="0.25">
      <c r="A4851" s="24"/>
      <c r="B4851" s="21" t="s">
        <v>4163</v>
      </c>
      <c r="C4851" s="21" t="s">
        <v>4164</v>
      </c>
      <c r="D4851" s="21" t="str">
        <f>HYPERLINK("https://rhld.insurance.arkansas.gov/NPILookup?Npi=1861128076","1861128076")</f>
        <v>1861128076</v>
      </c>
      <c r="E4851" s="21" t="s">
        <v>1840</v>
      </c>
      <c r="F4851" s="21" t="s">
        <v>12</v>
      </c>
      <c r="G4851" s="22">
        <v>1</v>
      </c>
      <c r="H4851" s="21" t="s">
        <v>4338</v>
      </c>
      <c r="I4851" s="21" t="s">
        <v>32</v>
      </c>
      <c r="J4851" s="9">
        <v>54321</v>
      </c>
      <c r="K4851" s="23" t="s">
        <v>4639</v>
      </c>
      <c r="L4851" s="23"/>
    </row>
    <row r="4852" spans="1:12" ht="15" x14ac:dyDescent="0.25">
      <c r="A4852" s="24"/>
      <c r="B4852" s="21" t="s">
        <v>4163</v>
      </c>
      <c r="C4852" s="21" t="s">
        <v>4164</v>
      </c>
      <c r="D4852" s="21" t="str">
        <f>HYPERLINK("https://rhld.insurance.arkansas.gov/NPILookup?Npi=1861438665","1861438665")</f>
        <v>1861438665</v>
      </c>
      <c r="E4852" s="21" t="s">
        <v>4203</v>
      </c>
      <c r="F4852" s="21" t="s">
        <v>12</v>
      </c>
      <c r="G4852" s="22">
        <v>1</v>
      </c>
      <c r="H4852" s="21" t="s">
        <v>4338</v>
      </c>
      <c r="I4852" s="21" t="s">
        <v>32</v>
      </c>
      <c r="J4852" s="9">
        <v>54321</v>
      </c>
      <c r="K4852" s="23" t="s">
        <v>4639</v>
      </c>
      <c r="L4852" s="23"/>
    </row>
    <row r="4853" spans="1:12" ht="15" x14ac:dyDescent="0.25">
      <c r="A4853" s="24"/>
      <c r="B4853" s="21" t="s">
        <v>4163</v>
      </c>
      <c r="C4853" s="21" t="s">
        <v>4164</v>
      </c>
      <c r="D4853" s="21" t="str">
        <f>HYPERLINK("https://rhld.insurance.arkansas.gov/NPILookup?Npi=1881681864","1881681864")</f>
        <v>1881681864</v>
      </c>
      <c r="E4853" s="21" t="s">
        <v>4204</v>
      </c>
      <c r="F4853" s="21" t="s">
        <v>12</v>
      </c>
      <c r="G4853" s="22">
        <v>1</v>
      </c>
      <c r="H4853" s="21" t="s">
        <v>4338</v>
      </c>
      <c r="I4853" s="21" t="s">
        <v>32</v>
      </c>
      <c r="J4853" s="9">
        <v>54321</v>
      </c>
      <c r="K4853" s="23" t="s">
        <v>4639</v>
      </c>
      <c r="L4853" s="23"/>
    </row>
    <row r="4854" spans="1:12" ht="15" x14ac:dyDescent="0.25">
      <c r="A4854" s="24"/>
      <c r="B4854" s="21" t="s">
        <v>4163</v>
      </c>
      <c r="C4854" s="21" t="s">
        <v>4164</v>
      </c>
      <c r="D4854" s="21" t="str">
        <f>HYPERLINK("https://rhld.insurance.arkansas.gov/NPILookup?Npi=1891806782","1891806782")</f>
        <v>1891806782</v>
      </c>
      <c r="E4854" s="21" t="s">
        <v>4205</v>
      </c>
      <c r="F4854" s="21" t="s">
        <v>12</v>
      </c>
      <c r="G4854" s="22">
        <v>1</v>
      </c>
      <c r="H4854" s="21" t="s">
        <v>4338</v>
      </c>
      <c r="I4854" s="21" t="s">
        <v>32</v>
      </c>
      <c r="J4854" s="9">
        <v>54321</v>
      </c>
      <c r="K4854" s="23" t="s">
        <v>4639</v>
      </c>
      <c r="L4854" s="23"/>
    </row>
    <row r="4855" spans="1:12" ht="15" x14ac:dyDescent="0.25">
      <c r="A4855" s="24"/>
      <c r="B4855" s="21" t="s">
        <v>4163</v>
      </c>
      <c r="C4855" s="21" t="s">
        <v>4164</v>
      </c>
      <c r="D4855" s="21" t="str">
        <f>HYPERLINK("https://rhld.insurance.arkansas.gov/NPILookup?Npi=1922722032","1922722032")</f>
        <v>1922722032</v>
      </c>
      <c r="E4855" s="21" t="s">
        <v>4206</v>
      </c>
      <c r="F4855" s="21" t="s">
        <v>12</v>
      </c>
      <c r="G4855" s="22">
        <v>1</v>
      </c>
      <c r="H4855" s="21" t="s">
        <v>4338</v>
      </c>
      <c r="I4855" s="21" t="s">
        <v>32</v>
      </c>
      <c r="J4855" s="9">
        <v>54321</v>
      </c>
      <c r="K4855" s="23" t="s">
        <v>4639</v>
      </c>
      <c r="L4855" s="23"/>
    </row>
    <row r="4856" spans="1:12" ht="15" x14ac:dyDescent="0.25">
      <c r="A4856" s="24"/>
      <c r="B4856" s="21" t="s">
        <v>4163</v>
      </c>
      <c r="C4856" s="21" t="s">
        <v>4164</v>
      </c>
      <c r="D4856" s="21" t="str">
        <f>HYPERLINK("https://rhld.insurance.arkansas.gov/NPILookup?Npi=1932417631","1932417631")</f>
        <v>1932417631</v>
      </c>
      <c r="E4856" s="21" t="s">
        <v>4207</v>
      </c>
      <c r="F4856" s="21" t="s">
        <v>12</v>
      </c>
      <c r="G4856" s="22">
        <v>1</v>
      </c>
      <c r="H4856" s="21" t="s">
        <v>4338</v>
      </c>
      <c r="I4856" s="21" t="s">
        <v>32</v>
      </c>
      <c r="J4856" s="9">
        <v>54321</v>
      </c>
      <c r="K4856" s="23" t="s">
        <v>4639</v>
      </c>
      <c r="L4856" s="23"/>
    </row>
    <row r="4857" spans="1:12" ht="15" x14ac:dyDescent="0.25">
      <c r="A4857" s="24"/>
      <c r="B4857" s="21" t="s">
        <v>4163</v>
      </c>
      <c r="C4857" s="21" t="s">
        <v>4164</v>
      </c>
      <c r="D4857" s="21" t="str">
        <f>HYPERLINK("https://rhld.insurance.arkansas.gov/NPILookup?Npi=1962455212","1962455212")</f>
        <v>1962455212</v>
      </c>
      <c r="E4857" s="21" t="s">
        <v>920</v>
      </c>
      <c r="F4857" s="21" t="s">
        <v>12</v>
      </c>
      <c r="G4857" s="22">
        <v>1</v>
      </c>
      <c r="H4857" s="21" t="s">
        <v>4338</v>
      </c>
      <c r="I4857" s="21" t="s">
        <v>32</v>
      </c>
      <c r="J4857" s="9">
        <v>54321</v>
      </c>
      <c r="K4857" s="9" t="s">
        <v>23</v>
      </c>
      <c r="L4857" s="9"/>
    </row>
    <row r="4858" spans="1:12" ht="15" x14ac:dyDescent="0.25">
      <c r="A4858" s="24"/>
      <c r="B4858" s="21" t="s">
        <v>4163</v>
      </c>
      <c r="C4858" s="21" t="s">
        <v>4164</v>
      </c>
      <c r="D4858" s="21" t="str">
        <f>HYPERLINK("https://rhld.insurance.arkansas.gov/NPILookup?Npi=1962465740","1962465740")</f>
        <v>1962465740</v>
      </c>
      <c r="E4858" s="21" t="s">
        <v>4208</v>
      </c>
      <c r="F4858" s="21" t="s">
        <v>12</v>
      </c>
      <c r="G4858" s="22">
        <v>1</v>
      </c>
      <c r="H4858" s="21" t="s">
        <v>4338</v>
      </c>
      <c r="I4858" s="21" t="s">
        <v>32</v>
      </c>
      <c r="J4858" s="9">
        <v>54321</v>
      </c>
      <c r="K4858" s="9" t="s">
        <v>23</v>
      </c>
      <c r="L4858" s="9"/>
    </row>
    <row r="4859" spans="1:12" ht="30" x14ac:dyDescent="0.25">
      <c r="A4859" s="24"/>
      <c r="B4859" s="21" t="s">
        <v>4163</v>
      </c>
      <c r="C4859" s="21" t="s">
        <v>4164</v>
      </c>
      <c r="D4859" s="21" t="str">
        <f>HYPERLINK("https://rhld.insurance.arkansas.gov/NPILookup?Npi=1972777290","1972777290")</f>
        <v>1972777290</v>
      </c>
      <c r="E4859" s="21" t="s">
        <v>4209</v>
      </c>
      <c r="F4859" s="21" t="s">
        <v>12</v>
      </c>
      <c r="G4859" s="22">
        <v>1</v>
      </c>
      <c r="H4859" s="21" t="s">
        <v>4338</v>
      </c>
      <c r="I4859" s="21" t="s">
        <v>32</v>
      </c>
      <c r="J4859" s="9">
        <v>54321</v>
      </c>
      <c r="K4859" s="23" t="s">
        <v>22</v>
      </c>
      <c r="L4859" s="9" t="s">
        <v>4643</v>
      </c>
    </row>
    <row r="4860" spans="1:12" ht="15" x14ac:dyDescent="0.25">
      <c r="A4860" s="24"/>
      <c r="B4860" s="21" t="s">
        <v>4163</v>
      </c>
      <c r="C4860" s="21" t="s">
        <v>4164</v>
      </c>
      <c r="D4860" s="21" t="str">
        <f>HYPERLINK("https://rhld.insurance.arkansas.gov/NPILookup?Npi=1992749329","1992749329")</f>
        <v>1992749329</v>
      </c>
      <c r="E4860" s="21" t="s">
        <v>4210</v>
      </c>
      <c r="F4860" s="21" t="s">
        <v>12</v>
      </c>
      <c r="G4860" s="22">
        <v>1</v>
      </c>
      <c r="H4860" s="21" t="s">
        <v>4338</v>
      </c>
      <c r="I4860" s="21" t="s">
        <v>32</v>
      </c>
      <c r="J4860" s="9">
        <v>54321</v>
      </c>
      <c r="K4860" s="23" t="s">
        <v>23</v>
      </c>
      <c r="L4860" s="9"/>
    </row>
    <row r="4861" spans="1:12" ht="15" x14ac:dyDescent="0.25">
      <c r="B4861" t="s">
        <v>4211</v>
      </c>
      <c r="C4861" t="s">
        <v>4212</v>
      </c>
      <c r="D4861" t="str">
        <f>HYPERLINK("https://rhld.insurance.arkansas.gov/NPILookup?Npi=1013263797","1013263797")</f>
        <v>1013263797</v>
      </c>
      <c r="E4861" t="s">
        <v>4213</v>
      </c>
      <c r="F4861" t="s">
        <v>13</v>
      </c>
      <c r="G4861" s="20">
        <v>1</v>
      </c>
      <c r="H4861" t="s">
        <v>87</v>
      </c>
      <c r="I4861" t="s">
        <v>4357</v>
      </c>
      <c r="J4861" s="9">
        <v>54321</v>
      </c>
      <c r="K4861" s="23" t="s">
        <v>23</v>
      </c>
      <c r="L4861" s="9"/>
    </row>
    <row r="4862" spans="1:12" ht="45" x14ac:dyDescent="0.25">
      <c r="B4862" t="s">
        <v>4211</v>
      </c>
      <c r="C4862" t="s">
        <v>4212</v>
      </c>
      <c r="D4862" t="str">
        <f>HYPERLINK("https://rhld.insurance.arkansas.gov/NPILookup?Npi=1073541512","1073541512")</f>
        <v>1073541512</v>
      </c>
      <c r="E4862" t="s">
        <v>4214</v>
      </c>
      <c r="F4862" t="s">
        <v>13</v>
      </c>
      <c r="G4862" s="20">
        <v>1</v>
      </c>
      <c r="H4862" t="s">
        <v>87</v>
      </c>
      <c r="I4862" t="s">
        <v>4357</v>
      </c>
      <c r="J4862" s="9">
        <v>54321</v>
      </c>
      <c r="K4862" s="23" t="s">
        <v>22</v>
      </c>
      <c r="L4862" s="9" t="s">
        <v>4644</v>
      </c>
    </row>
    <row r="4863" spans="1:12" ht="15" x14ac:dyDescent="0.25">
      <c r="B4863" t="s">
        <v>4211</v>
      </c>
      <c r="C4863" s="21" t="s">
        <v>4212</v>
      </c>
      <c r="D4863" s="21" t="str">
        <f>HYPERLINK("https://rhld.insurance.arkansas.gov/NPILookup?Npi=1255694600","1255694600")</f>
        <v>1255694600</v>
      </c>
      <c r="E4863" s="21" t="s">
        <v>2432</v>
      </c>
      <c r="F4863" s="21" t="s">
        <v>12</v>
      </c>
      <c r="G4863" s="22">
        <v>1</v>
      </c>
      <c r="H4863" s="21" t="s">
        <v>4338</v>
      </c>
      <c r="I4863" s="21" t="s">
        <v>32</v>
      </c>
      <c r="J4863" s="9">
        <v>54321</v>
      </c>
      <c r="K4863" s="23" t="s">
        <v>23</v>
      </c>
      <c r="L4863" s="9"/>
    </row>
    <row r="4864" spans="1:12" ht="15" x14ac:dyDescent="0.25">
      <c r="B4864" t="s">
        <v>4211</v>
      </c>
      <c r="C4864" s="21" t="s">
        <v>4212</v>
      </c>
      <c r="D4864" s="21" t="str">
        <f>HYPERLINK("https://rhld.insurance.arkansas.gov/NPILookup?Npi=1427430214","1427430214")</f>
        <v>1427430214</v>
      </c>
      <c r="E4864" s="21" t="s">
        <v>4215</v>
      </c>
      <c r="F4864" s="21" t="s">
        <v>12</v>
      </c>
      <c r="G4864" s="22">
        <v>1</v>
      </c>
      <c r="H4864" s="21" t="s">
        <v>4338</v>
      </c>
      <c r="I4864" s="21" t="s">
        <v>32</v>
      </c>
      <c r="J4864" s="9">
        <v>54321</v>
      </c>
      <c r="K4864" s="23" t="s">
        <v>23</v>
      </c>
      <c r="L4864" s="9"/>
    </row>
    <row r="4865" spans="2:12" ht="15" x14ac:dyDescent="0.25">
      <c r="B4865" t="s">
        <v>4211</v>
      </c>
      <c r="C4865" s="21" t="s">
        <v>4212</v>
      </c>
      <c r="D4865" s="21" t="str">
        <f>HYPERLINK("https://rhld.insurance.arkansas.gov/NPILookup?Npi=1518908854","1518908854")</f>
        <v>1518908854</v>
      </c>
      <c r="E4865" s="21" t="s">
        <v>4216</v>
      </c>
      <c r="F4865" s="21" t="s">
        <v>12</v>
      </c>
      <c r="G4865" s="22">
        <v>1</v>
      </c>
      <c r="H4865" s="21" t="s">
        <v>4338</v>
      </c>
      <c r="I4865" s="21" t="s">
        <v>4357</v>
      </c>
      <c r="J4865" s="9">
        <v>54321</v>
      </c>
      <c r="K4865" s="23" t="s">
        <v>23</v>
      </c>
      <c r="L4865" s="9"/>
    </row>
    <row r="4866" spans="2:12" ht="15" x14ac:dyDescent="0.25">
      <c r="B4866" t="s">
        <v>4211</v>
      </c>
      <c r="C4866" s="21" t="s">
        <v>4212</v>
      </c>
      <c r="D4866" s="21" t="str">
        <f>HYPERLINK("https://rhld.insurance.arkansas.gov/NPILookup?Npi=1538543632","1538543632")</f>
        <v>1538543632</v>
      </c>
      <c r="E4866" s="21" t="s">
        <v>119</v>
      </c>
      <c r="F4866" s="21" t="s">
        <v>12</v>
      </c>
      <c r="G4866" s="22">
        <v>1</v>
      </c>
      <c r="H4866" s="21" t="s">
        <v>4338</v>
      </c>
      <c r="I4866" s="21" t="s">
        <v>32</v>
      </c>
      <c r="J4866" s="9">
        <v>54321</v>
      </c>
      <c r="K4866" s="23" t="s">
        <v>23</v>
      </c>
      <c r="L4866" s="9"/>
    </row>
    <row r="4867" spans="2:12" ht="30" x14ac:dyDescent="0.25">
      <c r="B4867" t="s">
        <v>4211</v>
      </c>
      <c r="C4867" s="21" t="s">
        <v>4212</v>
      </c>
      <c r="D4867" s="21" t="str">
        <f>HYPERLINK("https://rhld.insurance.arkansas.gov/NPILookup?Npi=1538798988","1538798988")</f>
        <v>1538798988</v>
      </c>
      <c r="E4867" s="21" t="s">
        <v>2828</v>
      </c>
      <c r="F4867" s="21" t="s">
        <v>12</v>
      </c>
      <c r="G4867" s="22">
        <v>2</v>
      </c>
      <c r="H4867" s="21" t="s">
        <v>4356</v>
      </c>
      <c r="I4867" s="21" t="s">
        <v>32</v>
      </c>
      <c r="J4867" s="9">
        <v>54321</v>
      </c>
      <c r="K4867" s="23" t="s">
        <v>22</v>
      </c>
      <c r="L4867" s="9" t="s">
        <v>4643</v>
      </c>
    </row>
    <row r="4868" spans="2:12" ht="15" x14ac:dyDescent="0.25">
      <c r="B4868" t="s">
        <v>4211</v>
      </c>
      <c r="C4868" s="21" t="s">
        <v>4212</v>
      </c>
      <c r="D4868" s="21" t="str">
        <f>HYPERLINK("https://rhld.insurance.arkansas.gov/NPILookup?Npi=1568026466","1568026466")</f>
        <v>1568026466</v>
      </c>
      <c r="E4868" s="21" t="s">
        <v>4217</v>
      </c>
      <c r="F4868" s="21" t="s">
        <v>12</v>
      </c>
      <c r="G4868" s="22">
        <v>1</v>
      </c>
      <c r="H4868" s="21" t="s">
        <v>139</v>
      </c>
      <c r="I4868" s="21" t="s">
        <v>32</v>
      </c>
      <c r="J4868" s="9">
        <v>54321</v>
      </c>
      <c r="K4868" s="9" t="s">
        <v>4641</v>
      </c>
      <c r="L4868" s="9"/>
    </row>
    <row r="4869" spans="2:12" ht="15" x14ac:dyDescent="0.25">
      <c r="B4869" t="s">
        <v>4211</v>
      </c>
      <c r="C4869" s="21" t="s">
        <v>4212</v>
      </c>
      <c r="D4869" s="21" t="str">
        <f>HYPERLINK("https://rhld.insurance.arkansas.gov/NPILookup?Npi=1639559230","1639559230")</f>
        <v>1639559230</v>
      </c>
      <c r="E4869" s="21" t="s">
        <v>4218</v>
      </c>
      <c r="F4869" s="21" t="s">
        <v>12</v>
      </c>
      <c r="G4869" s="22">
        <v>1</v>
      </c>
      <c r="H4869" s="21" t="s">
        <v>4338</v>
      </c>
      <c r="I4869" s="21" t="s">
        <v>32</v>
      </c>
      <c r="J4869" s="9">
        <v>54321</v>
      </c>
      <c r="K4869" s="23" t="s">
        <v>23</v>
      </c>
      <c r="L4869" s="9"/>
    </row>
    <row r="4870" spans="2:12" ht="15" x14ac:dyDescent="0.25">
      <c r="B4870" t="s">
        <v>4211</v>
      </c>
      <c r="C4870" s="21" t="s">
        <v>4212</v>
      </c>
      <c r="D4870" s="21" t="str">
        <f>HYPERLINK("https://rhld.insurance.arkansas.gov/NPILookup?Npi=1649761917","1649761917")</f>
        <v>1649761917</v>
      </c>
      <c r="E4870" s="21" t="s">
        <v>4219</v>
      </c>
      <c r="F4870" s="21" t="s">
        <v>12</v>
      </c>
      <c r="G4870" s="22">
        <v>1</v>
      </c>
      <c r="H4870" s="21" t="s">
        <v>4338</v>
      </c>
      <c r="I4870" s="21" t="s">
        <v>32</v>
      </c>
      <c r="J4870" s="9">
        <v>54321</v>
      </c>
      <c r="K4870" s="23" t="s">
        <v>4639</v>
      </c>
      <c r="L4870" s="9"/>
    </row>
    <row r="4871" spans="2:12" ht="30" x14ac:dyDescent="0.25">
      <c r="B4871" t="s">
        <v>4211</v>
      </c>
      <c r="C4871" s="21" t="s">
        <v>4212</v>
      </c>
      <c r="D4871" s="21" t="str">
        <f>HYPERLINK("https://rhld.insurance.arkansas.gov/NPILookup?Npi=1659758753","1659758753")</f>
        <v>1659758753</v>
      </c>
      <c r="E4871" s="21" t="s">
        <v>2974</v>
      </c>
      <c r="F4871" s="21" t="s">
        <v>12</v>
      </c>
      <c r="G4871" s="22">
        <v>1</v>
      </c>
      <c r="H4871" s="21" t="s">
        <v>4338</v>
      </c>
      <c r="I4871" s="21" t="s">
        <v>32</v>
      </c>
      <c r="J4871" s="9">
        <v>54321</v>
      </c>
      <c r="K4871" s="23" t="s">
        <v>22</v>
      </c>
      <c r="L4871" s="9" t="s">
        <v>4643</v>
      </c>
    </row>
    <row r="4872" spans="2:12" ht="30" x14ac:dyDescent="0.25">
      <c r="B4872" t="s">
        <v>4211</v>
      </c>
      <c r="C4872" t="s">
        <v>4212</v>
      </c>
      <c r="D4872" t="str">
        <f>HYPERLINK("https://rhld.insurance.arkansas.gov/NPILookup?Npi=1710973532","1710973532")</f>
        <v>1710973532</v>
      </c>
      <c r="E4872" t="s">
        <v>4220</v>
      </c>
      <c r="F4872" t="s">
        <v>13</v>
      </c>
      <c r="G4872" s="20">
        <v>1</v>
      </c>
      <c r="H4872" t="s">
        <v>87</v>
      </c>
      <c r="I4872" t="s">
        <v>4357</v>
      </c>
      <c r="J4872" s="9">
        <v>54321</v>
      </c>
      <c r="K4872" s="23" t="s">
        <v>22</v>
      </c>
      <c r="L4872" s="9" t="s">
        <v>4645</v>
      </c>
    </row>
    <row r="4873" spans="2:12" ht="15" x14ac:dyDescent="0.25">
      <c r="B4873" t="s">
        <v>4211</v>
      </c>
      <c r="C4873" s="21" t="s">
        <v>4212</v>
      </c>
      <c r="D4873" s="21" t="str">
        <f>HYPERLINK("https://rhld.insurance.arkansas.gov/NPILookup?Npi=1720081789","1720081789")</f>
        <v>1720081789</v>
      </c>
      <c r="E4873" s="21" t="s">
        <v>3041</v>
      </c>
      <c r="F4873" s="21" t="s">
        <v>12</v>
      </c>
      <c r="G4873" s="22">
        <v>1</v>
      </c>
      <c r="H4873" s="21" t="s">
        <v>4338</v>
      </c>
      <c r="I4873" s="21" t="s">
        <v>32</v>
      </c>
      <c r="J4873" s="9">
        <v>54321</v>
      </c>
      <c r="K4873" s="9" t="s">
        <v>4639</v>
      </c>
      <c r="L4873" s="9"/>
    </row>
    <row r="4874" spans="2:12" ht="15" x14ac:dyDescent="0.25">
      <c r="B4874" t="s">
        <v>4211</v>
      </c>
      <c r="C4874" s="21" t="s">
        <v>4212</v>
      </c>
      <c r="D4874" s="21" t="str">
        <f>HYPERLINK("https://rhld.insurance.arkansas.gov/NPILookup?Npi=1841557089","1841557089")</f>
        <v>1841557089</v>
      </c>
      <c r="E4874" s="21" t="s">
        <v>4221</v>
      </c>
      <c r="F4874" s="21" t="s">
        <v>12</v>
      </c>
      <c r="G4874" s="22">
        <v>1</v>
      </c>
      <c r="H4874" s="21" t="s">
        <v>4222</v>
      </c>
      <c r="I4874" s="21" t="s">
        <v>32</v>
      </c>
      <c r="J4874" s="9">
        <v>54321</v>
      </c>
      <c r="K4874" s="23" t="s">
        <v>23</v>
      </c>
      <c r="L4874" s="9"/>
    </row>
    <row r="4875" spans="2:12" ht="15" x14ac:dyDescent="0.25">
      <c r="B4875" t="s">
        <v>4211</v>
      </c>
      <c r="C4875" s="21" t="s">
        <v>4212</v>
      </c>
      <c r="D4875" s="21" t="str">
        <f>HYPERLINK("https://rhld.insurance.arkansas.gov/NPILookup?Npi=1871955526","1871955526")</f>
        <v>1871955526</v>
      </c>
      <c r="E4875" s="21" t="s">
        <v>4223</v>
      </c>
      <c r="F4875" s="21" t="s">
        <v>12</v>
      </c>
      <c r="G4875" s="22">
        <v>1</v>
      </c>
      <c r="H4875" s="21" t="s">
        <v>4338</v>
      </c>
      <c r="I4875" s="21" t="s">
        <v>32</v>
      </c>
      <c r="J4875" s="9">
        <v>54321</v>
      </c>
      <c r="K4875" s="23" t="s">
        <v>23</v>
      </c>
      <c r="L4875" s="9"/>
    </row>
    <row r="4876" spans="2:12" ht="15" x14ac:dyDescent="0.25">
      <c r="B4876" t="s">
        <v>4211</v>
      </c>
      <c r="C4876" s="21" t="s">
        <v>4212</v>
      </c>
      <c r="D4876" s="21" t="str">
        <f>HYPERLINK("https://rhld.insurance.arkansas.gov/NPILookup?Npi=1891704227","1891704227")</f>
        <v>1891704227</v>
      </c>
      <c r="E4876" s="21" t="s">
        <v>3265</v>
      </c>
      <c r="F4876" s="21" t="s">
        <v>12</v>
      </c>
      <c r="G4876" s="22">
        <v>1</v>
      </c>
      <c r="H4876" s="21" t="s">
        <v>4338</v>
      </c>
      <c r="I4876" s="21" t="s">
        <v>32</v>
      </c>
      <c r="J4876" s="9">
        <v>54321</v>
      </c>
      <c r="K4876" s="9" t="s">
        <v>4639</v>
      </c>
      <c r="L4876" s="9"/>
    </row>
    <row r="4877" spans="2:12" ht="15" x14ac:dyDescent="0.25">
      <c r="B4877" t="s">
        <v>4211</v>
      </c>
      <c r="C4877" t="s">
        <v>4212</v>
      </c>
      <c r="D4877" t="str">
        <f>HYPERLINK("https://rhld.insurance.arkansas.gov/NPILookup?Npi=1922023183","1922023183")</f>
        <v>1922023183</v>
      </c>
      <c r="E4877" t="s">
        <v>4224</v>
      </c>
      <c r="F4877" t="s">
        <v>13</v>
      </c>
      <c r="G4877" s="20">
        <v>1</v>
      </c>
      <c r="H4877" t="s">
        <v>87</v>
      </c>
      <c r="I4877" t="s">
        <v>4357</v>
      </c>
      <c r="J4877" s="9">
        <v>54321</v>
      </c>
      <c r="K4877" s="9" t="s">
        <v>23</v>
      </c>
      <c r="L4877" s="9"/>
    </row>
    <row r="4878" spans="2:12" ht="15" x14ac:dyDescent="0.25">
      <c r="B4878" t="s">
        <v>4211</v>
      </c>
      <c r="C4878" s="21" t="s">
        <v>4212</v>
      </c>
      <c r="D4878" s="21" t="str">
        <f>HYPERLINK("https://rhld.insurance.arkansas.gov/NPILookup?Npi=1932193687","1932193687")</f>
        <v>1932193687</v>
      </c>
      <c r="E4878" s="21" t="s">
        <v>903</v>
      </c>
      <c r="F4878" s="21" t="s">
        <v>12</v>
      </c>
      <c r="G4878" s="22">
        <v>1</v>
      </c>
      <c r="H4878" s="21" t="s">
        <v>4338</v>
      </c>
      <c r="I4878" s="21" t="s">
        <v>32</v>
      </c>
      <c r="J4878" s="9">
        <v>54321</v>
      </c>
      <c r="K4878" s="23" t="s">
        <v>23</v>
      </c>
      <c r="L4878" s="9"/>
    </row>
    <row r="4879" spans="2:12" ht="30" x14ac:dyDescent="0.25">
      <c r="B4879" t="s">
        <v>4211</v>
      </c>
      <c r="C4879" s="21" t="s">
        <v>4212</v>
      </c>
      <c r="D4879" s="21" t="str">
        <f>HYPERLINK("https://rhld.insurance.arkansas.gov/NPILookup?Npi=1962792309","1962792309")</f>
        <v>1962792309</v>
      </c>
      <c r="E4879" s="21" t="s">
        <v>3358</v>
      </c>
      <c r="F4879" s="21" t="s">
        <v>12</v>
      </c>
      <c r="G4879" s="22">
        <v>1</v>
      </c>
      <c r="H4879" s="21" t="s">
        <v>139</v>
      </c>
      <c r="I4879" s="21" t="s">
        <v>32</v>
      </c>
      <c r="J4879" s="9">
        <v>54321</v>
      </c>
      <c r="K4879" s="23" t="s">
        <v>22</v>
      </c>
      <c r="L4879" s="9" t="s">
        <v>4646</v>
      </c>
    </row>
    <row r="4880" spans="2:12" ht="15" x14ac:dyDescent="0.25">
      <c r="B4880" t="s">
        <v>4211</v>
      </c>
      <c r="C4880" t="s">
        <v>4212</v>
      </c>
      <c r="D4880" t="str">
        <f>HYPERLINK("https://rhld.insurance.arkansas.gov/NPILookup?Npi=1982691804","1982691804")</f>
        <v>1982691804</v>
      </c>
      <c r="E4880" t="s">
        <v>4225</v>
      </c>
      <c r="F4880" t="s">
        <v>13</v>
      </c>
      <c r="G4880" s="20">
        <v>1</v>
      </c>
      <c r="H4880" t="s">
        <v>87</v>
      </c>
      <c r="I4880" t="s">
        <v>32</v>
      </c>
      <c r="J4880" s="9">
        <v>54321</v>
      </c>
      <c r="K4880" s="9" t="s">
        <v>23</v>
      </c>
      <c r="L4880" s="9"/>
    </row>
    <row r="4881" spans="2:12" ht="15" x14ac:dyDescent="0.25">
      <c r="B4881" t="s">
        <v>4226</v>
      </c>
      <c r="C4881" t="s">
        <v>4227</v>
      </c>
      <c r="D4881" t="str">
        <f>HYPERLINK("https://rhld.insurance.arkansas.gov/NPILookup?Npi=1154306603","1154306603")</f>
        <v>1154306603</v>
      </c>
      <c r="E4881" t="s">
        <v>4228</v>
      </c>
      <c r="F4881" t="s">
        <v>13</v>
      </c>
      <c r="G4881" s="20">
        <v>2</v>
      </c>
      <c r="H4881" t="s">
        <v>439</v>
      </c>
      <c r="I4881" t="s">
        <v>4357</v>
      </c>
      <c r="J4881" s="9">
        <v>54321</v>
      </c>
      <c r="K4881" s="23" t="s">
        <v>23</v>
      </c>
      <c r="L4881" s="9"/>
    </row>
    <row r="4882" spans="2:12" ht="15" x14ac:dyDescent="0.25">
      <c r="B4882" t="s">
        <v>4226</v>
      </c>
      <c r="C4882" s="21" t="s">
        <v>4227</v>
      </c>
      <c r="D4882" s="21" t="str">
        <f>HYPERLINK("https://rhld.insurance.arkansas.gov/NPILookup?Npi=1295808913","1295808913")</f>
        <v>1295808913</v>
      </c>
      <c r="E4882" s="21" t="s">
        <v>4229</v>
      </c>
      <c r="F4882" s="21" t="s">
        <v>12</v>
      </c>
      <c r="G4882" s="22">
        <v>1</v>
      </c>
      <c r="H4882" s="21" t="s">
        <v>141</v>
      </c>
      <c r="I4882" s="21" t="s">
        <v>4357</v>
      </c>
      <c r="J4882" s="9">
        <v>54321</v>
      </c>
      <c r="K4882" s="9" t="s">
        <v>23</v>
      </c>
      <c r="L4882" s="9"/>
    </row>
    <row r="4883" spans="2:12" ht="15" x14ac:dyDescent="0.25">
      <c r="B4883" t="s">
        <v>4226</v>
      </c>
      <c r="C4883" s="21" t="s">
        <v>4227</v>
      </c>
      <c r="D4883" s="21" t="str">
        <f>HYPERLINK("https://rhld.insurance.arkansas.gov/NPILookup?Npi=1346330834","1346330834")</f>
        <v>1346330834</v>
      </c>
      <c r="E4883" s="21" t="s">
        <v>4230</v>
      </c>
      <c r="F4883" s="21" t="s">
        <v>12</v>
      </c>
      <c r="G4883" s="22">
        <v>1</v>
      </c>
      <c r="H4883" s="21" t="s">
        <v>4338</v>
      </c>
      <c r="I4883" s="21" t="s">
        <v>32</v>
      </c>
      <c r="J4883" s="9">
        <v>54321</v>
      </c>
      <c r="K4883" s="9" t="s">
        <v>23</v>
      </c>
      <c r="L4883" s="9"/>
    </row>
    <row r="4884" spans="2:12" ht="15" x14ac:dyDescent="0.25">
      <c r="B4884" t="s">
        <v>4226</v>
      </c>
      <c r="C4884" t="s">
        <v>4227</v>
      </c>
      <c r="D4884" t="str">
        <f>HYPERLINK("https://rhld.insurance.arkansas.gov/NPILookup?Npi=1689605784","1689605784")</f>
        <v>1689605784</v>
      </c>
      <c r="E4884" t="s">
        <v>4231</v>
      </c>
      <c r="F4884" t="s">
        <v>13</v>
      </c>
      <c r="G4884" s="20">
        <v>1</v>
      </c>
      <c r="H4884" t="s">
        <v>87</v>
      </c>
      <c r="I4884" t="s">
        <v>32</v>
      </c>
      <c r="J4884" s="9">
        <v>54321</v>
      </c>
      <c r="K4884" s="9" t="s">
        <v>23</v>
      </c>
      <c r="L4884" s="9"/>
    </row>
    <row r="4885" spans="2:12" ht="15" x14ac:dyDescent="0.25">
      <c r="B4885" t="s">
        <v>4226</v>
      </c>
      <c r="C4885" s="21" t="s">
        <v>4227</v>
      </c>
      <c r="D4885" s="21" t="str">
        <f>HYPERLINK("https://rhld.insurance.arkansas.gov/NPILookup?Npi=1780927855","1780927855")</f>
        <v>1780927855</v>
      </c>
      <c r="E4885" s="21" t="s">
        <v>1437</v>
      </c>
      <c r="F4885" s="21" t="s">
        <v>12</v>
      </c>
      <c r="G4885" s="22">
        <v>1</v>
      </c>
      <c r="H4885" s="21" t="s">
        <v>4338</v>
      </c>
      <c r="I4885" s="21" t="s">
        <v>4357</v>
      </c>
      <c r="J4885" s="9">
        <v>54321</v>
      </c>
      <c r="K4885" s="23" t="s">
        <v>23</v>
      </c>
      <c r="L4885" s="9"/>
    </row>
    <row r="4886" spans="2:12" ht="15" x14ac:dyDescent="0.25">
      <c r="B4886" t="s">
        <v>4232</v>
      </c>
      <c r="C4886" t="s">
        <v>4233</v>
      </c>
      <c r="D4886" t="str">
        <f>HYPERLINK("https://rhld.insurance.arkansas.gov/NPILookup?Npi=1013758614","1013758614")</f>
        <v>1013758614</v>
      </c>
      <c r="E4886" t="s">
        <v>4234</v>
      </c>
      <c r="F4886" t="s">
        <v>13</v>
      </c>
      <c r="G4886" s="20">
        <v>1</v>
      </c>
      <c r="H4886" t="s">
        <v>4357</v>
      </c>
      <c r="I4886" t="s">
        <v>4357</v>
      </c>
      <c r="J4886" s="9">
        <v>54321</v>
      </c>
      <c r="K4886" s="9" t="s">
        <v>23</v>
      </c>
      <c r="L4886" s="9"/>
    </row>
    <row r="4887" spans="2:12" ht="15" x14ac:dyDescent="0.25">
      <c r="B4887" t="s">
        <v>4232</v>
      </c>
      <c r="C4887" t="s">
        <v>4233</v>
      </c>
      <c r="D4887" t="str">
        <f>HYPERLINK("https://rhld.insurance.arkansas.gov/NPILookup?Npi=1043433287","1043433287")</f>
        <v>1043433287</v>
      </c>
      <c r="E4887" t="s">
        <v>4235</v>
      </c>
      <c r="F4887" t="s">
        <v>13</v>
      </c>
      <c r="G4887" s="20">
        <v>1</v>
      </c>
      <c r="H4887" t="s">
        <v>4357</v>
      </c>
      <c r="I4887" t="s">
        <v>4357</v>
      </c>
      <c r="J4887" s="9">
        <v>54321</v>
      </c>
      <c r="K4887" s="9" t="s">
        <v>23</v>
      </c>
      <c r="L4887" s="9"/>
    </row>
    <row r="4888" spans="2:12" ht="15" x14ac:dyDescent="0.25">
      <c r="B4888" t="s">
        <v>4232</v>
      </c>
      <c r="C4888" t="s">
        <v>4233</v>
      </c>
      <c r="D4888" t="str">
        <f>HYPERLINK("https://rhld.insurance.arkansas.gov/NPILookup?Npi=1043761687","1043761687")</f>
        <v>1043761687</v>
      </c>
      <c r="E4888" t="s">
        <v>4236</v>
      </c>
      <c r="F4888" t="s">
        <v>13</v>
      </c>
      <c r="G4888" s="20">
        <v>1</v>
      </c>
      <c r="H4888" t="s">
        <v>4357</v>
      </c>
      <c r="I4888" t="s">
        <v>4357</v>
      </c>
      <c r="J4888" s="9">
        <v>54321</v>
      </c>
      <c r="K4888" s="9" t="s">
        <v>23</v>
      </c>
      <c r="L4888" s="9"/>
    </row>
    <row r="4889" spans="2:12" ht="15" x14ac:dyDescent="0.25">
      <c r="B4889" t="s">
        <v>4232</v>
      </c>
      <c r="C4889" s="21" t="s">
        <v>4233</v>
      </c>
      <c r="D4889" s="21" t="str">
        <f>HYPERLINK("https://rhld.insurance.arkansas.gov/NPILookup?Npi=1053538587","1053538587")</f>
        <v>1053538587</v>
      </c>
      <c r="E4889" s="21" t="s">
        <v>4237</v>
      </c>
      <c r="F4889" s="21" t="s">
        <v>12</v>
      </c>
      <c r="G4889" s="22">
        <v>1</v>
      </c>
      <c r="H4889" s="21" t="s">
        <v>4338</v>
      </c>
      <c r="I4889" s="21" t="s">
        <v>32</v>
      </c>
      <c r="J4889" s="9">
        <v>54321</v>
      </c>
      <c r="K4889" s="9" t="s">
        <v>23</v>
      </c>
      <c r="L4889" s="9"/>
    </row>
    <row r="4890" spans="2:12" ht="15" x14ac:dyDescent="0.25">
      <c r="B4890" t="s">
        <v>4232</v>
      </c>
      <c r="C4890" t="s">
        <v>4233</v>
      </c>
      <c r="D4890" t="str">
        <f>HYPERLINK("https://rhld.insurance.arkansas.gov/NPILookup?Npi=1063130532","1063130532")</f>
        <v>1063130532</v>
      </c>
      <c r="E4890" t="s">
        <v>4238</v>
      </c>
      <c r="F4890" t="s">
        <v>13</v>
      </c>
      <c r="G4890" s="20">
        <v>1</v>
      </c>
      <c r="H4890" t="s">
        <v>4357</v>
      </c>
      <c r="I4890" t="s">
        <v>4357</v>
      </c>
      <c r="J4890" s="9">
        <v>54321</v>
      </c>
      <c r="K4890" s="9" t="s">
        <v>4639</v>
      </c>
      <c r="L4890" s="9"/>
    </row>
    <row r="4891" spans="2:12" ht="15" x14ac:dyDescent="0.25">
      <c r="B4891" t="s">
        <v>4232</v>
      </c>
      <c r="C4891" t="s">
        <v>4233</v>
      </c>
      <c r="D4891" t="str">
        <f>HYPERLINK("https://rhld.insurance.arkansas.gov/NPILookup?Npi=1073232195","1073232195")</f>
        <v>1073232195</v>
      </c>
      <c r="E4891" t="s">
        <v>4239</v>
      </c>
      <c r="F4891" t="s">
        <v>13</v>
      </c>
      <c r="G4891" s="20">
        <v>1</v>
      </c>
      <c r="H4891" t="s">
        <v>4357</v>
      </c>
      <c r="I4891" t="s">
        <v>4357</v>
      </c>
      <c r="J4891" s="9">
        <v>54321</v>
      </c>
      <c r="K4891" s="9" t="s">
        <v>4639</v>
      </c>
      <c r="L4891" s="9"/>
    </row>
    <row r="4892" spans="2:12" ht="15" x14ac:dyDescent="0.25">
      <c r="B4892" t="s">
        <v>4232</v>
      </c>
      <c r="C4892" t="s">
        <v>4233</v>
      </c>
      <c r="D4892" t="str">
        <f>HYPERLINK("https://rhld.insurance.arkansas.gov/NPILookup?Npi=1073380416","1073380416")</f>
        <v>1073380416</v>
      </c>
      <c r="E4892" t="s">
        <v>4240</v>
      </c>
      <c r="F4892" t="s">
        <v>13</v>
      </c>
      <c r="G4892" s="20">
        <v>1</v>
      </c>
      <c r="H4892" t="s">
        <v>4357</v>
      </c>
      <c r="I4892" t="s">
        <v>4357</v>
      </c>
      <c r="J4892" s="9">
        <v>54321</v>
      </c>
      <c r="K4892" s="9" t="s">
        <v>4639</v>
      </c>
      <c r="L4892" s="9"/>
    </row>
    <row r="4893" spans="2:12" ht="15" x14ac:dyDescent="0.25">
      <c r="B4893" t="s">
        <v>4232</v>
      </c>
      <c r="C4893" t="s">
        <v>4233</v>
      </c>
      <c r="D4893" t="str">
        <f>HYPERLINK("https://rhld.insurance.arkansas.gov/NPILookup?Npi=1093409237","1093409237")</f>
        <v>1093409237</v>
      </c>
      <c r="E4893" t="s">
        <v>4241</v>
      </c>
      <c r="F4893" t="s">
        <v>13</v>
      </c>
      <c r="G4893" s="20">
        <v>1</v>
      </c>
      <c r="H4893" t="s">
        <v>4357</v>
      </c>
      <c r="I4893" t="s">
        <v>4357</v>
      </c>
      <c r="J4893" s="9">
        <v>54321</v>
      </c>
      <c r="K4893" s="23" t="s">
        <v>23</v>
      </c>
      <c r="L4893" s="9"/>
    </row>
    <row r="4894" spans="2:12" ht="15" x14ac:dyDescent="0.25">
      <c r="B4894" t="s">
        <v>4232</v>
      </c>
      <c r="C4894" t="s">
        <v>4233</v>
      </c>
      <c r="D4894" t="str">
        <f>HYPERLINK("https://rhld.insurance.arkansas.gov/NPILookup?Npi=1104697093","1104697093")</f>
        <v>1104697093</v>
      </c>
      <c r="E4894" t="s">
        <v>4242</v>
      </c>
      <c r="F4894" t="s">
        <v>13</v>
      </c>
      <c r="G4894" s="20">
        <v>1</v>
      </c>
      <c r="H4894" t="s">
        <v>4357</v>
      </c>
      <c r="I4894" t="s">
        <v>4357</v>
      </c>
      <c r="J4894" s="9">
        <v>54321</v>
      </c>
      <c r="K4894" s="9" t="s">
        <v>4639</v>
      </c>
      <c r="L4894" s="9"/>
    </row>
    <row r="4895" spans="2:12" ht="15" x14ac:dyDescent="0.25">
      <c r="B4895" t="s">
        <v>4232</v>
      </c>
      <c r="C4895" t="s">
        <v>4233</v>
      </c>
      <c r="D4895" t="str">
        <f>HYPERLINK("https://rhld.insurance.arkansas.gov/NPILookup?Npi=1124127204","1124127204")</f>
        <v>1124127204</v>
      </c>
      <c r="E4895" t="s">
        <v>4243</v>
      </c>
      <c r="F4895" t="s">
        <v>13</v>
      </c>
      <c r="G4895" s="20">
        <v>1</v>
      </c>
      <c r="H4895" t="s">
        <v>4357</v>
      </c>
      <c r="I4895" t="s">
        <v>4357</v>
      </c>
      <c r="J4895" s="9">
        <v>54321</v>
      </c>
      <c r="K4895" s="23" t="s">
        <v>23</v>
      </c>
      <c r="L4895" s="9"/>
    </row>
    <row r="4896" spans="2:12" ht="15" x14ac:dyDescent="0.25">
      <c r="B4896" t="s">
        <v>4232</v>
      </c>
      <c r="C4896" t="s">
        <v>4233</v>
      </c>
      <c r="D4896" t="str">
        <f>HYPERLINK("https://rhld.insurance.arkansas.gov/NPILookup?Npi=1124711239","1124711239")</f>
        <v>1124711239</v>
      </c>
      <c r="E4896" t="s">
        <v>1358</v>
      </c>
      <c r="F4896" t="s">
        <v>13</v>
      </c>
      <c r="G4896" s="20">
        <v>1</v>
      </c>
      <c r="H4896" t="s">
        <v>4357</v>
      </c>
      <c r="I4896" t="s">
        <v>4357</v>
      </c>
      <c r="J4896" s="9">
        <v>54321</v>
      </c>
      <c r="K4896" s="9" t="s">
        <v>4641</v>
      </c>
      <c r="L4896" s="9"/>
    </row>
    <row r="4897" spans="2:12" ht="15" x14ac:dyDescent="0.25">
      <c r="B4897" t="s">
        <v>4232</v>
      </c>
      <c r="C4897" s="21" t="s">
        <v>4233</v>
      </c>
      <c r="D4897" s="21" t="str">
        <f>HYPERLINK("https://rhld.insurance.arkansas.gov/NPILookup?Npi=1144818303","1144818303")</f>
        <v>1144818303</v>
      </c>
      <c r="E4897" s="21" t="s">
        <v>4244</v>
      </c>
      <c r="F4897" s="21" t="s">
        <v>12</v>
      </c>
      <c r="G4897" s="22">
        <v>1</v>
      </c>
      <c r="H4897" s="21" t="s">
        <v>4245</v>
      </c>
      <c r="I4897" s="21" t="s">
        <v>32</v>
      </c>
      <c r="J4897" s="9">
        <v>54321</v>
      </c>
      <c r="K4897" s="9" t="s">
        <v>4639</v>
      </c>
      <c r="L4897" s="9"/>
    </row>
    <row r="4898" spans="2:12" ht="15" x14ac:dyDescent="0.25">
      <c r="B4898" t="s">
        <v>4232</v>
      </c>
      <c r="C4898" t="s">
        <v>4233</v>
      </c>
      <c r="D4898" t="str">
        <f>HYPERLINK("https://rhld.insurance.arkansas.gov/NPILookup?Npi=1154073864","1154073864")</f>
        <v>1154073864</v>
      </c>
      <c r="E4898" t="s">
        <v>4246</v>
      </c>
      <c r="F4898" t="s">
        <v>13</v>
      </c>
      <c r="G4898" s="20">
        <v>1</v>
      </c>
      <c r="H4898" t="s">
        <v>4357</v>
      </c>
      <c r="I4898" t="s">
        <v>4357</v>
      </c>
      <c r="J4898" s="9">
        <v>54321</v>
      </c>
      <c r="K4898" s="9" t="s">
        <v>4639</v>
      </c>
      <c r="L4898" s="9"/>
    </row>
    <row r="4899" spans="2:12" ht="15" x14ac:dyDescent="0.25">
      <c r="B4899" t="s">
        <v>4232</v>
      </c>
      <c r="C4899" s="21" t="s">
        <v>4233</v>
      </c>
      <c r="D4899" s="21" t="str">
        <f>HYPERLINK("https://rhld.insurance.arkansas.gov/NPILookup?Npi=1154890887","1154890887")</f>
        <v>1154890887</v>
      </c>
      <c r="E4899" s="21" t="s">
        <v>1579</v>
      </c>
      <c r="F4899" s="21" t="s">
        <v>12</v>
      </c>
      <c r="G4899" s="22">
        <v>1</v>
      </c>
      <c r="H4899" s="21" t="s">
        <v>4338</v>
      </c>
      <c r="I4899" s="21" t="s">
        <v>32</v>
      </c>
      <c r="J4899" s="9">
        <v>54321</v>
      </c>
      <c r="K4899" s="9" t="s">
        <v>4639</v>
      </c>
      <c r="L4899" s="9"/>
    </row>
    <row r="4900" spans="2:12" ht="15" x14ac:dyDescent="0.25">
      <c r="B4900" t="s">
        <v>4232</v>
      </c>
      <c r="C4900" t="s">
        <v>4233</v>
      </c>
      <c r="D4900" t="str">
        <f>HYPERLINK("https://rhld.insurance.arkansas.gov/NPILookup?Npi=1215156005","1215156005")</f>
        <v>1215156005</v>
      </c>
      <c r="E4900" t="s">
        <v>4247</v>
      </c>
      <c r="F4900" t="s">
        <v>13</v>
      </c>
      <c r="G4900" s="20">
        <v>1</v>
      </c>
      <c r="H4900" t="s">
        <v>87</v>
      </c>
      <c r="I4900" t="s">
        <v>4357</v>
      </c>
      <c r="J4900" s="9">
        <v>54321</v>
      </c>
      <c r="K4900" s="9" t="s">
        <v>4639</v>
      </c>
      <c r="L4900" s="9"/>
    </row>
    <row r="4901" spans="2:12" ht="15" x14ac:dyDescent="0.25">
      <c r="B4901" t="s">
        <v>4232</v>
      </c>
      <c r="C4901" t="s">
        <v>4233</v>
      </c>
      <c r="D4901" t="str">
        <f>HYPERLINK("https://rhld.insurance.arkansas.gov/NPILookup?Npi=1215610886","1215610886")</f>
        <v>1215610886</v>
      </c>
      <c r="E4901" t="s">
        <v>4248</v>
      </c>
      <c r="F4901" t="s">
        <v>13</v>
      </c>
      <c r="G4901" s="20">
        <v>1</v>
      </c>
      <c r="H4901" t="s">
        <v>4357</v>
      </c>
      <c r="I4901" t="s">
        <v>4357</v>
      </c>
      <c r="J4901" s="9">
        <v>54321</v>
      </c>
      <c r="K4901" s="23" t="s">
        <v>23</v>
      </c>
      <c r="L4901" s="9"/>
    </row>
    <row r="4902" spans="2:12" ht="15" x14ac:dyDescent="0.25">
      <c r="B4902" t="s">
        <v>4232</v>
      </c>
      <c r="C4902" t="s">
        <v>4233</v>
      </c>
      <c r="D4902" t="str">
        <f>HYPERLINK("https://rhld.insurance.arkansas.gov/NPILookup?Npi=1225475312","1225475312")</f>
        <v>1225475312</v>
      </c>
      <c r="E4902" t="s">
        <v>4249</v>
      </c>
      <c r="F4902" t="s">
        <v>13</v>
      </c>
      <c r="G4902" s="20">
        <v>1</v>
      </c>
      <c r="H4902" t="s">
        <v>87</v>
      </c>
      <c r="I4902" t="s">
        <v>4357</v>
      </c>
      <c r="J4902" s="9">
        <v>54321</v>
      </c>
      <c r="K4902" s="23" t="s">
        <v>23</v>
      </c>
      <c r="L4902" s="9"/>
    </row>
    <row r="4903" spans="2:12" ht="15" x14ac:dyDescent="0.25">
      <c r="B4903" t="s">
        <v>4232</v>
      </c>
      <c r="C4903" t="s">
        <v>4233</v>
      </c>
      <c r="D4903" t="str">
        <f>HYPERLINK("https://rhld.insurance.arkansas.gov/NPILookup?Npi=1225625932","1225625932")</f>
        <v>1225625932</v>
      </c>
      <c r="E4903" t="s">
        <v>4250</v>
      </c>
      <c r="F4903" t="s">
        <v>13</v>
      </c>
      <c r="G4903" s="20">
        <v>1</v>
      </c>
      <c r="H4903" t="s">
        <v>4357</v>
      </c>
      <c r="I4903" t="s">
        <v>4357</v>
      </c>
      <c r="J4903" s="9">
        <v>54321</v>
      </c>
      <c r="K4903" s="9" t="s">
        <v>4639</v>
      </c>
      <c r="L4903" s="9"/>
    </row>
    <row r="4904" spans="2:12" ht="15" x14ac:dyDescent="0.25">
      <c r="B4904" t="s">
        <v>4232</v>
      </c>
      <c r="C4904" t="s">
        <v>4233</v>
      </c>
      <c r="D4904" t="str">
        <f>HYPERLINK("https://rhld.insurance.arkansas.gov/NPILookup?Npi=1225871320","1225871320")</f>
        <v>1225871320</v>
      </c>
      <c r="E4904" t="s">
        <v>4251</v>
      </c>
      <c r="F4904" t="s">
        <v>13</v>
      </c>
      <c r="G4904" s="20">
        <v>1</v>
      </c>
      <c r="H4904" t="s">
        <v>4357</v>
      </c>
      <c r="I4904" t="s">
        <v>4357</v>
      </c>
      <c r="J4904" s="9">
        <v>54321</v>
      </c>
      <c r="K4904" s="9" t="s">
        <v>23</v>
      </c>
      <c r="L4904" s="9"/>
    </row>
    <row r="4905" spans="2:12" ht="15" x14ac:dyDescent="0.25">
      <c r="B4905" t="s">
        <v>4232</v>
      </c>
      <c r="C4905" s="21" t="s">
        <v>4233</v>
      </c>
      <c r="D4905" s="21" t="str">
        <f>HYPERLINK("https://rhld.insurance.arkansas.gov/NPILookup?Npi=1235307364","1235307364")</f>
        <v>1235307364</v>
      </c>
      <c r="E4905" s="21" t="s">
        <v>4252</v>
      </c>
      <c r="F4905" s="21" t="s">
        <v>12</v>
      </c>
      <c r="G4905" s="22">
        <v>1</v>
      </c>
      <c r="H4905" s="21" t="s">
        <v>4338</v>
      </c>
      <c r="I4905" s="21" t="s">
        <v>32</v>
      </c>
      <c r="J4905" s="9">
        <v>54321</v>
      </c>
      <c r="K4905" s="9" t="s">
        <v>4639</v>
      </c>
      <c r="L4905" s="9"/>
    </row>
    <row r="4906" spans="2:12" ht="15" x14ac:dyDescent="0.25">
      <c r="B4906" t="s">
        <v>4232</v>
      </c>
      <c r="C4906" s="21" t="s">
        <v>4233</v>
      </c>
      <c r="D4906" s="21" t="str">
        <f>HYPERLINK("https://rhld.insurance.arkansas.gov/NPILookup?Npi=1235695321","1235695321")</f>
        <v>1235695321</v>
      </c>
      <c r="E4906" s="21" t="s">
        <v>4253</v>
      </c>
      <c r="F4906" s="21" t="s">
        <v>12</v>
      </c>
      <c r="G4906" s="22">
        <v>1</v>
      </c>
      <c r="H4906" s="21" t="s">
        <v>139</v>
      </c>
      <c r="I4906" s="21" t="s">
        <v>32</v>
      </c>
      <c r="J4906" s="9">
        <v>54321</v>
      </c>
      <c r="K4906" s="23" t="s">
        <v>23</v>
      </c>
      <c r="L4906" s="9"/>
    </row>
    <row r="4907" spans="2:12" ht="15" x14ac:dyDescent="0.25">
      <c r="B4907" t="s">
        <v>4232</v>
      </c>
      <c r="C4907" t="s">
        <v>4233</v>
      </c>
      <c r="D4907" t="str">
        <f>HYPERLINK("https://rhld.insurance.arkansas.gov/NPILookup?Npi=1245482900","1245482900")</f>
        <v>1245482900</v>
      </c>
      <c r="E4907" t="s">
        <v>4254</v>
      </c>
      <c r="F4907" t="s">
        <v>13</v>
      </c>
      <c r="G4907" s="20">
        <v>1</v>
      </c>
      <c r="H4907" t="s">
        <v>4357</v>
      </c>
      <c r="I4907" t="s">
        <v>4357</v>
      </c>
      <c r="J4907" s="9">
        <v>54321</v>
      </c>
      <c r="K4907" s="9" t="s">
        <v>4639</v>
      </c>
      <c r="L4907" s="9"/>
    </row>
    <row r="4908" spans="2:12" ht="15" x14ac:dyDescent="0.25">
      <c r="B4908" t="s">
        <v>4232</v>
      </c>
      <c r="C4908" t="s">
        <v>4233</v>
      </c>
      <c r="D4908" t="str">
        <f>HYPERLINK("https://rhld.insurance.arkansas.gov/NPILookup?Npi=1245542299","1245542299")</f>
        <v>1245542299</v>
      </c>
      <c r="E4908" t="s">
        <v>4255</v>
      </c>
      <c r="F4908" t="s">
        <v>13</v>
      </c>
      <c r="G4908" s="20">
        <v>1</v>
      </c>
      <c r="H4908" t="s">
        <v>4357</v>
      </c>
      <c r="I4908" t="s">
        <v>4357</v>
      </c>
      <c r="J4908" s="9">
        <v>54321</v>
      </c>
      <c r="K4908" s="9" t="s">
        <v>4639</v>
      </c>
      <c r="L4908" s="9"/>
    </row>
    <row r="4909" spans="2:12" ht="15" x14ac:dyDescent="0.25">
      <c r="B4909" t="s">
        <v>4232</v>
      </c>
      <c r="C4909" t="s">
        <v>4233</v>
      </c>
      <c r="D4909" t="str">
        <f>HYPERLINK("https://rhld.insurance.arkansas.gov/NPILookup?Npi=1255173720","1255173720")</f>
        <v>1255173720</v>
      </c>
      <c r="E4909" t="s">
        <v>4256</v>
      </c>
      <c r="F4909" t="s">
        <v>13</v>
      </c>
      <c r="G4909" s="20">
        <v>1</v>
      </c>
      <c r="H4909" t="s">
        <v>4357</v>
      </c>
      <c r="I4909" t="s">
        <v>4357</v>
      </c>
      <c r="J4909" s="9">
        <v>54321</v>
      </c>
      <c r="K4909" s="9" t="s">
        <v>4639</v>
      </c>
      <c r="L4909" s="9"/>
    </row>
    <row r="4910" spans="2:12" ht="15" x14ac:dyDescent="0.25">
      <c r="B4910" t="s">
        <v>4232</v>
      </c>
      <c r="C4910" s="21" t="s">
        <v>4233</v>
      </c>
      <c r="D4910" s="21" t="str">
        <f>HYPERLINK("https://rhld.insurance.arkansas.gov/NPILookup?Npi=1265195903","1265195903")</f>
        <v>1265195903</v>
      </c>
      <c r="E4910" s="21" t="s">
        <v>4257</v>
      </c>
      <c r="F4910" s="21" t="s">
        <v>12</v>
      </c>
      <c r="G4910" s="22">
        <v>1</v>
      </c>
      <c r="H4910" s="21" t="s">
        <v>4338</v>
      </c>
      <c r="I4910" s="21" t="s">
        <v>32</v>
      </c>
      <c r="J4910" s="9">
        <v>54321</v>
      </c>
      <c r="K4910" s="9" t="s">
        <v>4639</v>
      </c>
      <c r="L4910" s="9"/>
    </row>
    <row r="4911" spans="2:12" ht="15" x14ac:dyDescent="0.25">
      <c r="B4911" t="s">
        <v>4232</v>
      </c>
      <c r="C4911" t="s">
        <v>4233</v>
      </c>
      <c r="D4911" t="str">
        <f>HYPERLINK("https://rhld.insurance.arkansas.gov/NPILookup?Npi=1285767327","1285767327")</f>
        <v>1285767327</v>
      </c>
      <c r="E4911" t="s">
        <v>4258</v>
      </c>
      <c r="F4911" t="s">
        <v>13</v>
      </c>
      <c r="G4911" s="20">
        <v>1</v>
      </c>
      <c r="H4911" t="s">
        <v>87</v>
      </c>
      <c r="I4911" t="s">
        <v>4357</v>
      </c>
      <c r="J4911" s="9">
        <v>54321</v>
      </c>
      <c r="K4911" s="9" t="s">
        <v>4639</v>
      </c>
      <c r="L4911" s="9"/>
    </row>
    <row r="4912" spans="2:12" ht="15" x14ac:dyDescent="0.25">
      <c r="B4912" t="s">
        <v>4232</v>
      </c>
      <c r="C4912" t="s">
        <v>4233</v>
      </c>
      <c r="D4912" t="str">
        <f>HYPERLINK("https://rhld.insurance.arkansas.gov/NPILookup?Npi=1295076867","1295076867")</f>
        <v>1295076867</v>
      </c>
      <c r="E4912" t="s">
        <v>4259</v>
      </c>
      <c r="F4912" t="s">
        <v>13</v>
      </c>
      <c r="G4912" s="20">
        <v>1</v>
      </c>
      <c r="H4912" t="s">
        <v>4357</v>
      </c>
      <c r="I4912" t="s">
        <v>4357</v>
      </c>
      <c r="J4912" s="9">
        <v>54321</v>
      </c>
      <c r="K4912" s="9" t="s">
        <v>23</v>
      </c>
      <c r="L4912" s="9"/>
    </row>
    <row r="4913" spans="2:12" ht="15" x14ac:dyDescent="0.25">
      <c r="B4913" t="s">
        <v>4232</v>
      </c>
      <c r="C4913" t="s">
        <v>4233</v>
      </c>
      <c r="D4913" t="str">
        <f>HYPERLINK("https://rhld.insurance.arkansas.gov/NPILookup?Npi=1295418416","1295418416")</f>
        <v>1295418416</v>
      </c>
      <c r="E4913" t="s">
        <v>4260</v>
      </c>
      <c r="F4913" t="s">
        <v>13</v>
      </c>
      <c r="G4913" s="20">
        <v>1</v>
      </c>
      <c r="H4913" t="s">
        <v>4357</v>
      </c>
      <c r="I4913" t="s">
        <v>4357</v>
      </c>
      <c r="J4913" s="9">
        <v>54321</v>
      </c>
      <c r="K4913" s="23" t="s">
        <v>23</v>
      </c>
      <c r="L4913" s="9"/>
    </row>
    <row r="4914" spans="2:12" ht="15" x14ac:dyDescent="0.25">
      <c r="B4914" t="s">
        <v>4232</v>
      </c>
      <c r="C4914" t="s">
        <v>4233</v>
      </c>
      <c r="D4914" t="str">
        <f>HYPERLINK("https://rhld.insurance.arkansas.gov/NPILookup?Npi=1295539674","1295539674")</f>
        <v>1295539674</v>
      </c>
      <c r="E4914" t="s">
        <v>4261</v>
      </c>
      <c r="F4914" t="s">
        <v>13</v>
      </c>
      <c r="G4914" s="20">
        <v>2</v>
      </c>
      <c r="H4914" t="s">
        <v>439</v>
      </c>
      <c r="I4914" t="s">
        <v>4357</v>
      </c>
      <c r="J4914" s="9">
        <v>54321</v>
      </c>
      <c r="K4914" s="9" t="s">
        <v>4639</v>
      </c>
      <c r="L4914" s="9"/>
    </row>
    <row r="4915" spans="2:12" ht="15" x14ac:dyDescent="0.25">
      <c r="B4915" t="s">
        <v>4232</v>
      </c>
      <c r="C4915" t="s">
        <v>4233</v>
      </c>
      <c r="D4915" t="str">
        <f>HYPERLINK("https://rhld.insurance.arkansas.gov/NPILookup?Npi=1326830902","1326830902")</f>
        <v>1326830902</v>
      </c>
      <c r="E4915" t="s">
        <v>4262</v>
      </c>
      <c r="F4915" t="s">
        <v>13</v>
      </c>
      <c r="G4915" s="20">
        <v>1</v>
      </c>
      <c r="H4915" t="s">
        <v>4357</v>
      </c>
      <c r="I4915" t="s">
        <v>4357</v>
      </c>
      <c r="J4915" s="9">
        <v>54321</v>
      </c>
      <c r="K4915" s="9" t="s">
        <v>4639</v>
      </c>
      <c r="L4915" s="9"/>
    </row>
    <row r="4916" spans="2:12" ht="15" x14ac:dyDescent="0.25">
      <c r="B4916" t="s">
        <v>4232</v>
      </c>
      <c r="C4916" t="s">
        <v>4233</v>
      </c>
      <c r="D4916" t="str">
        <f>HYPERLINK("https://rhld.insurance.arkansas.gov/NPILookup?Npi=1336971977","1336971977")</f>
        <v>1336971977</v>
      </c>
      <c r="E4916" t="s">
        <v>4263</v>
      </c>
      <c r="F4916" t="s">
        <v>13</v>
      </c>
      <c r="G4916" s="20">
        <v>1</v>
      </c>
      <c r="H4916" t="s">
        <v>4357</v>
      </c>
      <c r="I4916" t="s">
        <v>4357</v>
      </c>
      <c r="J4916" s="9">
        <v>54321</v>
      </c>
      <c r="K4916" s="9" t="s">
        <v>4639</v>
      </c>
      <c r="L4916" s="9"/>
    </row>
    <row r="4917" spans="2:12" ht="15" x14ac:dyDescent="0.25">
      <c r="B4917" t="s">
        <v>4232</v>
      </c>
      <c r="C4917" s="21" t="s">
        <v>4233</v>
      </c>
      <c r="D4917" s="21" t="str">
        <f>HYPERLINK("https://rhld.insurance.arkansas.gov/NPILookup?Npi=1346287786","1346287786")</f>
        <v>1346287786</v>
      </c>
      <c r="E4917" s="21" t="s">
        <v>4264</v>
      </c>
      <c r="F4917" s="21" t="s">
        <v>12</v>
      </c>
      <c r="G4917" s="22">
        <v>1</v>
      </c>
      <c r="H4917" s="21" t="s">
        <v>141</v>
      </c>
      <c r="I4917" s="21" t="s">
        <v>32</v>
      </c>
      <c r="J4917" s="9">
        <v>54321</v>
      </c>
      <c r="K4917" s="9" t="s">
        <v>4639</v>
      </c>
      <c r="L4917" s="9"/>
    </row>
    <row r="4918" spans="2:12" ht="15" x14ac:dyDescent="0.25">
      <c r="B4918" t="s">
        <v>4232</v>
      </c>
      <c r="C4918" t="s">
        <v>4233</v>
      </c>
      <c r="D4918" t="str">
        <f>HYPERLINK("https://rhld.insurance.arkansas.gov/NPILookup?Npi=1346923638","1346923638")</f>
        <v>1346923638</v>
      </c>
      <c r="E4918" t="s">
        <v>4265</v>
      </c>
      <c r="F4918" t="s">
        <v>13</v>
      </c>
      <c r="G4918" s="20">
        <v>1</v>
      </c>
      <c r="H4918" t="s">
        <v>4357</v>
      </c>
      <c r="I4918" t="s">
        <v>4357</v>
      </c>
      <c r="J4918" s="9">
        <v>54321</v>
      </c>
      <c r="K4918" s="23" t="s">
        <v>23</v>
      </c>
      <c r="L4918" s="9"/>
    </row>
    <row r="4919" spans="2:12" ht="15" x14ac:dyDescent="0.25">
      <c r="B4919" t="s">
        <v>4232</v>
      </c>
      <c r="C4919" t="s">
        <v>4233</v>
      </c>
      <c r="D4919" t="str">
        <f>HYPERLINK("https://rhld.insurance.arkansas.gov/NPILookup?Npi=1356919187","1356919187")</f>
        <v>1356919187</v>
      </c>
      <c r="E4919" t="s">
        <v>4266</v>
      </c>
      <c r="F4919" t="s">
        <v>13</v>
      </c>
      <c r="G4919" s="20">
        <v>1</v>
      </c>
      <c r="H4919" t="s">
        <v>4357</v>
      </c>
      <c r="I4919" t="s">
        <v>4357</v>
      </c>
      <c r="J4919" s="9">
        <v>54321</v>
      </c>
      <c r="K4919" s="23" t="s">
        <v>23</v>
      </c>
      <c r="L4919" s="9"/>
    </row>
    <row r="4920" spans="2:12" ht="15" x14ac:dyDescent="0.25">
      <c r="B4920" t="s">
        <v>4232</v>
      </c>
      <c r="C4920" t="s">
        <v>4233</v>
      </c>
      <c r="D4920" t="str">
        <f>HYPERLINK("https://rhld.insurance.arkansas.gov/NPILookup?Npi=1366264764","1366264764")</f>
        <v>1366264764</v>
      </c>
      <c r="E4920" t="s">
        <v>4267</v>
      </c>
      <c r="F4920" t="s">
        <v>13</v>
      </c>
      <c r="G4920" s="20">
        <v>1</v>
      </c>
      <c r="H4920" t="s">
        <v>4357</v>
      </c>
      <c r="I4920" t="s">
        <v>4357</v>
      </c>
      <c r="J4920" s="9">
        <v>54321</v>
      </c>
      <c r="K4920" s="9" t="s">
        <v>4639</v>
      </c>
      <c r="L4920" s="9"/>
    </row>
    <row r="4921" spans="2:12" ht="15" x14ac:dyDescent="0.25">
      <c r="B4921" t="s">
        <v>4232</v>
      </c>
      <c r="C4921" t="s">
        <v>4233</v>
      </c>
      <c r="D4921" t="str">
        <f>HYPERLINK("https://rhld.insurance.arkansas.gov/NPILookup?Npi=1376672246","1376672246")</f>
        <v>1376672246</v>
      </c>
      <c r="E4921" t="s">
        <v>4268</v>
      </c>
      <c r="F4921" t="s">
        <v>13</v>
      </c>
      <c r="G4921" s="20">
        <v>1</v>
      </c>
      <c r="H4921" t="s">
        <v>4357</v>
      </c>
      <c r="I4921" t="s">
        <v>4357</v>
      </c>
      <c r="J4921" s="9">
        <v>54321</v>
      </c>
      <c r="K4921" s="23" t="s">
        <v>23</v>
      </c>
      <c r="L4921" s="9"/>
    </row>
    <row r="4922" spans="2:12" ht="15" x14ac:dyDescent="0.25">
      <c r="B4922" t="s">
        <v>4232</v>
      </c>
      <c r="C4922" s="21" t="s">
        <v>4233</v>
      </c>
      <c r="D4922" s="21" t="str">
        <f>HYPERLINK("https://rhld.insurance.arkansas.gov/NPILookup?Npi=1386003804","1386003804")</f>
        <v>1386003804</v>
      </c>
      <c r="E4922" s="21" t="s">
        <v>4269</v>
      </c>
      <c r="F4922" s="21" t="s">
        <v>12</v>
      </c>
      <c r="G4922" s="22">
        <v>1</v>
      </c>
      <c r="H4922" s="21" t="s">
        <v>139</v>
      </c>
      <c r="I4922" s="21" t="s">
        <v>32</v>
      </c>
      <c r="J4922" s="9">
        <v>54321</v>
      </c>
      <c r="K4922" s="9" t="s">
        <v>4639</v>
      </c>
      <c r="L4922" s="9"/>
    </row>
    <row r="4923" spans="2:12" ht="15" x14ac:dyDescent="0.25">
      <c r="B4923" t="s">
        <v>4232</v>
      </c>
      <c r="C4923" s="21" t="s">
        <v>4233</v>
      </c>
      <c r="D4923" s="21" t="str">
        <f>HYPERLINK("https://rhld.insurance.arkansas.gov/NPILookup?Npi=1427459056","1427459056")</f>
        <v>1427459056</v>
      </c>
      <c r="E4923" s="21" t="s">
        <v>1344</v>
      </c>
      <c r="F4923" s="21" t="s">
        <v>12</v>
      </c>
      <c r="G4923" s="22">
        <v>1</v>
      </c>
      <c r="H4923" s="21" t="s">
        <v>139</v>
      </c>
      <c r="I4923" s="21" t="s">
        <v>32</v>
      </c>
      <c r="J4923" s="9">
        <v>54321</v>
      </c>
      <c r="K4923" s="9" t="s">
        <v>4639</v>
      </c>
      <c r="L4923" s="9"/>
    </row>
    <row r="4924" spans="2:12" ht="15" x14ac:dyDescent="0.25">
      <c r="B4924" t="s">
        <v>4232</v>
      </c>
      <c r="C4924" t="s">
        <v>4233</v>
      </c>
      <c r="D4924" t="str">
        <f>HYPERLINK("https://rhld.insurance.arkansas.gov/NPILookup?Npi=1437213758","1437213758")</f>
        <v>1437213758</v>
      </c>
      <c r="E4924" t="s">
        <v>4270</v>
      </c>
      <c r="F4924" t="s">
        <v>13</v>
      </c>
      <c r="G4924" s="20">
        <v>1</v>
      </c>
      <c r="H4924" t="s">
        <v>4357</v>
      </c>
      <c r="I4924" t="s">
        <v>4357</v>
      </c>
      <c r="J4924" s="9">
        <v>54321</v>
      </c>
      <c r="K4924" s="23" t="s">
        <v>23</v>
      </c>
      <c r="L4924" s="9"/>
    </row>
    <row r="4925" spans="2:12" ht="15" x14ac:dyDescent="0.25">
      <c r="B4925" t="s">
        <v>4232</v>
      </c>
      <c r="C4925" s="21" t="s">
        <v>4233</v>
      </c>
      <c r="D4925" s="21" t="str">
        <f>HYPERLINK("https://rhld.insurance.arkansas.gov/NPILookup?Npi=1437859980","1437859980")</f>
        <v>1437859980</v>
      </c>
      <c r="E4925" s="21" t="s">
        <v>4271</v>
      </c>
      <c r="F4925" s="21" t="s">
        <v>12</v>
      </c>
      <c r="G4925" s="22">
        <v>1</v>
      </c>
      <c r="H4925" s="21" t="s">
        <v>4338</v>
      </c>
      <c r="I4925" s="21" t="s">
        <v>32</v>
      </c>
      <c r="J4925" s="9">
        <v>54321</v>
      </c>
      <c r="K4925" s="9" t="s">
        <v>23</v>
      </c>
      <c r="L4925" s="9"/>
    </row>
    <row r="4926" spans="2:12" ht="15" x14ac:dyDescent="0.25">
      <c r="B4926" t="s">
        <v>4232</v>
      </c>
      <c r="C4926" t="s">
        <v>4233</v>
      </c>
      <c r="D4926" t="str">
        <f>HYPERLINK("https://rhld.insurance.arkansas.gov/NPILookup?Npi=1447893235","1447893235")</f>
        <v>1447893235</v>
      </c>
      <c r="E4926" t="s">
        <v>4272</v>
      </c>
      <c r="F4926" t="s">
        <v>13</v>
      </c>
      <c r="G4926" s="20">
        <v>1</v>
      </c>
      <c r="H4926" t="s">
        <v>4357</v>
      </c>
      <c r="I4926" t="s">
        <v>4357</v>
      </c>
      <c r="J4926" s="9">
        <v>54321</v>
      </c>
      <c r="K4926" s="9" t="s">
        <v>4639</v>
      </c>
      <c r="L4926" s="9"/>
    </row>
    <row r="4927" spans="2:12" ht="15" x14ac:dyDescent="0.25">
      <c r="B4927" t="s">
        <v>4232</v>
      </c>
      <c r="C4927" t="s">
        <v>4233</v>
      </c>
      <c r="D4927" t="str">
        <f>HYPERLINK("https://rhld.insurance.arkansas.gov/NPILookup?Npi=1467272955","1467272955")</f>
        <v>1467272955</v>
      </c>
      <c r="E4927" t="s">
        <v>4273</v>
      </c>
      <c r="F4927" t="s">
        <v>13</v>
      </c>
      <c r="G4927" s="20">
        <v>1</v>
      </c>
      <c r="H4927" t="s">
        <v>4357</v>
      </c>
      <c r="I4927" t="s">
        <v>4357</v>
      </c>
      <c r="J4927" s="9">
        <v>54321</v>
      </c>
      <c r="K4927" s="9" t="s">
        <v>4639</v>
      </c>
      <c r="L4927" s="9"/>
    </row>
    <row r="4928" spans="2:12" ht="15" x14ac:dyDescent="0.25">
      <c r="B4928" t="s">
        <v>4232</v>
      </c>
      <c r="C4928" s="21" t="s">
        <v>4233</v>
      </c>
      <c r="D4928" s="21" t="str">
        <f>HYPERLINK("https://rhld.insurance.arkansas.gov/NPILookup?Npi=1477101533","1477101533")</f>
        <v>1477101533</v>
      </c>
      <c r="E4928" s="21" t="s">
        <v>4274</v>
      </c>
      <c r="F4928" s="21" t="s">
        <v>12</v>
      </c>
      <c r="G4928" s="22">
        <v>1</v>
      </c>
      <c r="H4928" s="21" t="s">
        <v>4338</v>
      </c>
      <c r="I4928" s="21" t="s">
        <v>32</v>
      </c>
      <c r="J4928" s="9">
        <v>54321</v>
      </c>
      <c r="K4928" s="9" t="s">
        <v>4641</v>
      </c>
      <c r="L4928" s="9"/>
    </row>
    <row r="4929" spans="2:12" ht="15" x14ac:dyDescent="0.25">
      <c r="B4929" t="s">
        <v>4232</v>
      </c>
      <c r="C4929" t="s">
        <v>4233</v>
      </c>
      <c r="D4929" t="str">
        <f>HYPERLINK("https://rhld.insurance.arkansas.gov/NPILookup?Npi=1497081905","1497081905")</f>
        <v>1497081905</v>
      </c>
      <c r="E4929" t="s">
        <v>4275</v>
      </c>
      <c r="F4929" t="s">
        <v>13</v>
      </c>
      <c r="G4929" s="20">
        <v>1</v>
      </c>
      <c r="H4929" t="s">
        <v>4357</v>
      </c>
      <c r="I4929" t="s">
        <v>4357</v>
      </c>
      <c r="J4929" s="9">
        <v>54321</v>
      </c>
      <c r="K4929" s="9" t="s">
        <v>23</v>
      </c>
      <c r="L4929" s="9"/>
    </row>
    <row r="4930" spans="2:12" ht="15" x14ac:dyDescent="0.25">
      <c r="B4930" t="s">
        <v>4232</v>
      </c>
      <c r="C4930" t="s">
        <v>4233</v>
      </c>
      <c r="D4930" t="str">
        <f>HYPERLINK("https://rhld.insurance.arkansas.gov/NPILookup?Npi=1508025420","1508025420")</f>
        <v>1508025420</v>
      </c>
      <c r="E4930" t="s">
        <v>4276</v>
      </c>
      <c r="F4930" t="s">
        <v>13</v>
      </c>
      <c r="G4930" s="20">
        <v>1</v>
      </c>
      <c r="H4930" t="s">
        <v>4357</v>
      </c>
      <c r="I4930" t="s">
        <v>4357</v>
      </c>
      <c r="J4930" s="9">
        <v>54321</v>
      </c>
      <c r="K4930" s="9" t="s">
        <v>4639</v>
      </c>
      <c r="L4930" s="9"/>
    </row>
    <row r="4931" spans="2:12" ht="15" x14ac:dyDescent="0.25">
      <c r="B4931" t="s">
        <v>4232</v>
      </c>
      <c r="C4931" t="s">
        <v>4233</v>
      </c>
      <c r="D4931" t="str">
        <f>HYPERLINK("https://rhld.insurance.arkansas.gov/NPILookup?Npi=1508347352","1508347352")</f>
        <v>1508347352</v>
      </c>
      <c r="E4931" t="s">
        <v>4277</v>
      </c>
      <c r="F4931" t="s">
        <v>13</v>
      </c>
      <c r="G4931" s="20">
        <v>1</v>
      </c>
      <c r="H4931" t="s">
        <v>4357</v>
      </c>
      <c r="I4931" t="s">
        <v>4357</v>
      </c>
      <c r="J4931" s="9">
        <v>54321</v>
      </c>
      <c r="K4931" s="9" t="s">
        <v>4639</v>
      </c>
      <c r="L4931" s="9"/>
    </row>
    <row r="4932" spans="2:12" ht="15" x14ac:dyDescent="0.25">
      <c r="B4932" t="s">
        <v>4232</v>
      </c>
      <c r="C4932" t="s">
        <v>4233</v>
      </c>
      <c r="D4932" t="str">
        <f>HYPERLINK("https://rhld.insurance.arkansas.gov/NPILookup?Npi=1508542937","1508542937")</f>
        <v>1508542937</v>
      </c>
      <c r="E4932" t="s">
        <v>4278</v>
      </c>
      <c r="F4932" t="s">
        <v>13</v>
      </c>
      <c r="G4932" s="20">
        <v>1</v>
      </c>
      <c r="H4932" t="s">
        <v>87</v>
      </c>
      <c r="I4932" t="s">
        <v>4357</v>
      </c>
      <c r="J4932" s="9">
        <v>54321</v>
      </c>
      <c r="K4932" s="9" t="s">
        <v>4639</v>
      </c>
      <c r="L4932" s="9"/>
    </row>
    <row r="4933" spans="2:12" ht="15" x14ac:dyDescent="0.25">
      <c r="B4933" t="s">
        <v>4232</v>
      </c>
      <c r="C4933" t="s">
        <v>4233</v>
      </c>
      <c r="D4933" t="str">
        <f>HYPERLINK("https://rhld.insurance.arkansas.gov/NPILookup?Npi=1528199833","1528199833")</f>
        <v>1528199833</v>
      </c>
      <c r="E4933" t="s">
        <v>4279</v>
      </c>
      <c r="F4933" t="s">
        <v>13</v>
      </c>
      <c r="G4933" s="20">
        <v>1</v>
      </c>
      <c r="H4933" t="s">
        <v>4357</v>
      </c>
      <c r="I4933" t="s">
        <v>4357</v>
      </c>
      <c r="J4933" s="9">
        <v>54321</v>
      </c>
      <c r="K4933" s="9" t="s">
        <v>4639</v>
      </c>
      <c r="L4933" s="9"/>
    </row>
    <row r="4934" spans="2:12" ht="15" x14ac:dyDescent="0.25">
      <c r="B4934" t="s">
        <v>4232</v>
      </c>
      <c r="C4934" t="s">
        <v>4233</v>
      </c>
      <c r="D4934" t="str">
        <f>HYPERLINK("https://rhld.insurance.arkansas.gov/NPILookup?Npi=1548000623","1548000623")</f>
        <v>1548000623</v>
      </c>
      <c r="E4934" t="s">
        <v>4280</v>
      </c>
      <c r="F4934" t="s">
        <v>13</v>
      </c>
      <c r="G4934" s="20">
        <v>1</v>
      </c>
      <c r="H4934" t="s">
        <v>4357</v>
      </c>
      <c r="I4934" t="s">
        <v>4357</v>
      </c>
      <c r="J4934" s="9">
        <v>54321</v>
      </c>
      <c r="K4934" s="9" t="s">
        <v>4639</v>
      </c>
      <c r="L4934" s="9"/>
    </row>
    <row r="4935" spans="2:12" ht="15" x14ac:dyDescent="0.25">
      <c r="B4935" t="s">
        <v>4232</v>
      </c>
      <c r="C4935" t="s">
        <v>4233</v>
      </c>
      <c r="D4935" t="str">
        <f>HYPERLINK("https://rhld.insurance.arkansas.gov/NPILookup?Npi=1548069487","1548069487")</f>
        <v>1548069487</v>
      </c>
      <c r="E4935" t="s">
        <v>4281</v>
      </c>
      <c r="F4935" t="s">
        <v>13</v>
      </c>
      <c r="G4935" s="20">
        <v>1</v>
      </c>
      <c r="H4935" t="s">
        <v>4357</v>
      </c>
      <c r="I4935" t="s">
        <v>4357</v>
      </c>
      <c r="J4935" s="9">
        <v>54321</v>
      </c>
      <c r="K4935" s="9" t="s">
        <v>4639</v>
      </c>
      <c r="L4935" s="9"/>
    </row>
    <row r="4936" spans="2:12" ht="15" x14ac:dyDescent="0.25">
      <c r="B4936" t="s">
        <v>4232</v>
      </c>
      <c r="C4936" t="s">
        <v>4233</v>
      </c>
      <c r="D4936" t="str">
        <f>HYPERLINK("https://rhld.insurance.arkansas.gov/NPILookup?Npi=1558490896","1558490896")</f>
        <v>1558490896</v>
      </c>
      <c r="E4936" t="s">
        <v>4282</v>
      </c>
      <c r="F4936" t="s">
        <v>13</v>
      </c>
      <c r="G4936" s="20">
        <v>1</v>
      </c>
      <c r="H4936" t="s">
        <v>4357</v>
      </c>
      <c r="I4936" t="s">
        <v>4357</v>
      </c>
      <c r="J4936" s="9">
        <v>54321</v>
      </c>
      <c r="K4936" s="9" t="s">
        <v>4639</v>
      </c>
      <c r="L4936" s="9"/>
    </row>
    <row r="4937" spans="2:12" ht="15" x14ac:dyDescent="0.25">
      <c r="B4937" t="s">
        <v>4232</v>
      </c>
      <c r="C4937" t="s">
        <v>4233</v>
      </c>
      <c r="D4937" t="str">
        <f>HYPERLINK("https://rhld.insurance.arkansas.gov/NPILookup?Npi=1558977785","1558977785")</f>
        <v>1558977785</v>
      </c>
      <c r="E4937" t="s">
        <v>4283</v>
      </c>
      <c r="F4937" t="s">
        <v>13</v>
      </c>
      <c r="G4937" s="20">
        <v>1</v>
      </c>
      <c r="H4937" t="s">
        <v>4357</v>
      </c>
      <c r="I4937" t="s">
        <v>4357</v>
      </c>
      <c r="J4937" s="9">
        <v>54321</v>
      </c>
      <c r="K4937" s="9" t="s">
        <v>4639</v>
      </c>
      <c r="L4937" s="9"/>
    </row>
    <row r="4938" spans="2:12" ht="15" x14ac:dyDescent="0.25">
      <c r="B4938" t="s">
        <v>4232</v>
      </c>
      <c r="C4938" t="s">
        <v>4233</v>
      </c>
      <c r="D4938" t="str">
        <f>HYPERLINK("https://rhld.insurance.arkansas.gov/NPILookup?Npi=1568206886","1568206886")</f>
        <v>1568206886</v>
      </c>
      <c r="E4938" t="s">
        <v>4284</v>
      </c>
      <c r="F4938" t="s">
        <v>13</v>
      </c>
      <c r="G4938" s="20">
        <v>1</v>
      </c>
      <c r="H4938" t="s">
        <v>4357</v>
      </c>
      <c r="I4938" t="s">
        <v>4357</v>
      </c>
      <c r="J4938" s="9">
        <v>54321</v>
      </c>
      <c r="K4938" s="9" t="s">
        <v>4639</v>
      </c>
      <c r="L4938" s="9"/>
    </row>
    <row r="4939" spans="2:12" ht="15" x14ac:dyDescent="0.25">
      <c r="B4939" t="s">
        <v>4232</v>
      </c>
      <c r="C4939" t="s">
        <v>4233</v>
      </c>
      <c r="D4939" t="str">
        <f>HYPERLINK("https://rhld.insurance.arkansas.gov/NPILookup?Npi=1578187894","1578187894")</f>
        <v>1578187894</v>
      </c>
      <c r="E4939" t="s">
        <v>4285</v>
      </c>
      <c r="F4939" t="s">
        <v>13</v>
      </c>
      <c r="G4939" s="20">
        <v>1</v>
      </c>
      <c r="H4939" t="s">
        <v>4357</v>
      </c>
      <c r="I4939" t="s">
        <v>4357</v>
      </c>
      <c r="J4939" s="9">
        <v>54321</v>
      </c>
      <c r="K4939" s="9" t="s">
        <v>4639</v>
      </c>
      <c r="L4939" s="9"/>
    </row>
    <row r="4940" spans="2:12" ht="15" x14ac:dyDescent="0.25">
      <c r="B4940" t="s">
        <v>4232</v>
      </c>
      <c r="C4940" t="s">
        <v>4233</v>
      </c>
      <c r="D4940" t="str">
        <f>HYPERLINK("https://rhld.insurance.arkansas.gov/NPILookup?Npi=1588497929","1588497929")</f>
        <v>1588497929</v>
      </c>
      <c r="E4940" t="s">
        <v>4286</v>
      </c>
      <c r="F4940" t="s">
        <v>13</v>
      </c>
      <c r="G4940" s="20">
        <v>1</v>
      </c>
      <c r="H4940" t="s">
        <v>4357</v>
      </c>
      <c r="I4940" t="s">
        <v>4357</v>
      </c>
      <c r="J4940" s="9">
        <v>54321</v>
      </c>
      <c r="K4940" s="23" t="s">
        <v>23</v>
      </c>
      <c r="L4940" s="9"/>
    </row>
    <row r="4941" spans="2:12" ht="15" x14ac:dyDescent="0.25">
      <c r="B4941" t="s">
        <v>4232</v>
      </c>
      <c r="C4941" t="s">
        <v>4233</v>
      </c>
      <c r="D4941" t="str">
        <f>HYPERLINK("https://rhld.insurance.arkansas.gov/NPILookup?Npi=1619648763","1619648763")</f>
        <v>1619648763</v>
      </c>
      <c r="E4941" t="s">
        <v>4287</v>
      </c>
      <c r="F4941" t="s">
        <v>13</v>
      </c>
      <c r="G4941" s="20">
        <v>1</v>
      </c>
      <c r="H4941" t="s">
        <v>4357</v>
      </c>
      <c r="I4941" t="s">
        <v>4357</v>
      </c>
      <c r="J4941" s="9">
        <v>54321</v>
      </c>
      <c r="K4941" s="9" t="s">
        <v>4641</v>
      </c>
      <c r="L4941" s="9"/>
    </row>
    <row r="4942" spans="2:12" ht="15" x14ac:dyDescent="0.25">
      <c r="B4942" t="s">
        <v>4232</v>
      </c>
      <c r="C4942" t="s">
        <v>4233</v>
      </c>
      <c r="D4942" t="str">
        <f>HYPERLINK("https://rhld.insurance.arkansas.gov/NPILookup?Npi=1619751799","1619751799")</f>
        <v>1619751799</v>
      </c>
      <c r="E4942" t="s">
        <v>4288</v>
      </c>
      <c r="F4942" t="s">
        <v>13</v>
      </c>
      <c r="G4942" s="20">
        <v>1</v>
      </c>
      <c r="H4942" t="s">
        <v>4357</v>
      </c>
      <c r="I4942" t="s">
        <v>4357</v>
      </c>
      <c r="J4942" s="9">
        <v>54321</v>
      </c>
      <c r="K4942" s="9" t="s">
        <v>4639</v>
      </c>
      <c r="L4942" s="9"/>
    </row>
    <row r="4943" spans="2:12" ht="15" x14ac:dyDescent="0.25">
      <c r="B4943" t="s">
        <v>4232</v>
      </c>
      <c r="C4943" t="s">
        <v>4233</v>
      </c>
      <c r="D4943" t="str">
        <f>HYPERLINK("https://rhld.insurance.arkansas.gov/NPILookup?Npi=1649081399","1649081399")</f>
        <v>1649081399</v>
      </c>
      <c r="E4943" t="s">
        <v>4289</v>
      </c>
      <c r="F4943" t="s">
        <v>13</v>
      </c>
      <c r="G4943" s="20">
        <v>1</v>
      </c>
      <c r="H4943" t="s">
        <v>4357</v>
      </c>
      <c r="I4943" t="s">
        <v>4357</v>
      </c>
      <c r="J4943" s="9">
        <v>54321</v>
      </c>
      <c r="K4943" s="9" t="s">
        <v>4639</v>
      </c>
      <c r="L4943" s="9"/>
    </row>
    <row r="4944" spans="2:12" ht="15" x14ac:dyDescent="0.25">
      <c r="B4944" t="s">
        <v>4232</v>
      </c>
      <c r="C4944" s="21" t="s">
        <v>4233</v>
      </c>
      <c r="D4944" s="21" t="str">
        <f>HYPERLINK("https://rhld.insurance.arkansas.gov/NPILookup?Npi=1659442093","1659442093")</f>
        <v>1659442093</v>
      </c>
      <c r="E4944" s="21" t="s">
        <v>1766</v>
      </c>
      <c r="F4944" s="21" t="s">
        <v>12</v>
      </c>
      <c r="G4944" s="22">
        <v>1</v>
      </c>
      <c r="H4944" s="21" t="s">
        <v>4338</v>
      </c>
      <c r="I4944" s="21" t="s">
        <v>32</v>
      </c>
      <c r="J4944" s="9">
        <v>54321</v>
      </c>
      <c r="K4944" s="9" t="s">
        <v>4639</v>
      </c>
      <c r="L4944" s="9"/>
    </row>
    <row r="4945" spans="2:12" ht="15" x14ac:dyDescent="0.25">
      <c r="B4945" t="s">
        <v>4232</v>
      </c>
      <c r="C4945" t="s">
        <v>4233</v>
      </c>
      <c r="D4945" t="str">
        <f>HYPERLINK("https://rhld.insurance.arkansas.gov/NPILookup?Npi=1669016192","1669016192")</f>
        <v>1669016192</v>
      </c>
      <c r="E4945" t="s">
        <v>4290</v>
      </c>
      <c r="F4945" t="s">
        <v>13</v>
      </c>
      <c r="G4945" s="20">
        <v>1</v>
      </c>
      <c r="H4945" t="s">
        <v>87</v>
      </c>
      <c r="I4945" t="s">
        <v>4357</v>
      </c>
      <c r="J4945" s="9">
        <v>54321</v>
      </c>
      <c r="K4945" s="23" t="s">
        <v>23</v>
      </c>
      <c r="L4945" s="9"/>
    </row>
    <row r="4946" spans="2:12" ht="15" x14ac:dyDescent="0.25">
      <c r="B4946" t="s">
        <v>4232</v>
      </c>
      <c r="C4946" t="s">
        <v>4233</v>
      </c>
      <c r="D4946" t="str">
        <f>HYPERLINK("https://rhld.insurance.arkansas.gov/NPILookup?Npi=1669212189","1669212189")</f>
        <v>1669212189</v>
      </c>
      <c r="E4946" t="s">
        <v>4291</v>
      </c>
      <c r="F4946" t="s">
        <v>13</v>
      </c>
      <c r="G4946" s="20">
        <v>1</v>
      </c>
      <c r="H4946" t="s">
        <v>4357</v>
      </c>
      <c r="I4946" t="s">
        <v>4357</v>
      </c>
      <c r="J4946" s="9">
        <v>54321</v>
      </c>
      <c r="K4946" s="9" t="s">
        <v>4639</v>
      </c>
      <c r="L4946" s="9"/>
    </row>
    <row r="4947" spans="2:12" ht="15" x14ac:dyDescent="0.25">
      <c r="B4947" t="s">
        <v>4232</v>
      </c>
      <c r="C4947" t="s">
        <v>4233</v>
      </c>
      <c r="D4947" t="str">
        <f>HYPERLINK("https://rhld.insurance.arkansas.gov/NPILookup?Npi=1679227938","1679227938")</f>
        <v>1679227938</v>
      </c>
      <c r="E4947" t="s">
        <v>4292</v>
      </c>
      <c r="F4947" t="s">
        <v>13</v>
      </c>
      <c r="G4947" s="20">
        <v>1</v>
      </c>
      <c r="H4947" t="s">
        <v>4357</v>
      </c>
      <c r="I4947" t="s">
        <v>4357</v>
      </c>
      <c r="J4947" s="9">
        <v>54321</v>
      </c>
      <c r="K4947" s="9" t="s">
        <v>4639</v>
      </c>
      <c r="L4947" s="9"/>
    </row>
    <row r="4948" spans="2:12" ht="15" x14ac:dyDescent="0.25">
      <c r="B4948" t="s">
        <v>4232</v>
      </c>
      <c r="C4948" t="s">
        <v>4233</v>
      </c>
      <c r="D4948" t="str">
        <f>HYPERLINK("https://rhld.insurance.arkansas.gov/NPILookup?Npi=1679312508","1679312508")</f>
        <v>1679312508</v>
      </c>
      <c r="E4948" t="s">
        <v>4293</v>
      </c>
      <c r="F4948" t="s">
        <v>13</v>
      </c>
      <c r="G4948" s="20">
        <v>1</v>
      </c>
      <c r="H4948" t="s">
        <v>4357</v>
      </c>
      <c r="I4948" t="s">
        <v>4357</v>
      </c>
      <c r="J4948" s="9">
        <v>54321</v>
      </c>
      <c r="K4948" s="9" t="s">
        <v>4639</v>
      </c>
      <c r="L4948" s="9"/>
    </row>
    <row r="4949" spans="2:12" ht="15" x14ac:dyDescent="0.25">
      <c r="B4949" t="s">
        <v>4232</v>
      </c>
      <c r="C4949" s="21" t="s">
        <v>4233</v>
      </c>
      <c r="D4949" s="21" t="str">
        <f>HYPERLINK("https://rhld.insurance.arkansas.gov/NPILookup?Npi=1679895270","1679895270")</f>
        <v>1679895270</v>
      </c>
      <c r="E4949" s="21" t="s">
        <v>4294</v>
      </c>
      <c r="F4949" s="21" t="s">
        <v>12</v>
      </c>
      <c r="G4949" s="22">
        <v>1</v>
      </c>
      <c r="H4949" s="21" t="s">
        <v>139</v>
      </c>
      <c r="I4949" s="21" t="s">
        <v>32</v>
      </c>
      <c r="J4949" s="9">
        <v>54321</v>
      </c>
      <c r="K4949" s="9" t="s">
        <v>4639</v>
      </c>
      <c r="L4949" s="9"/>
    </row>
    <row r="4950" spans="2:12" ht="15" x14ac:dyDescent="0.25">
      <c r="B4950" t="s">
        <v>4232</v>
      </c>
      <c r="C4950" t="s">
        <v>4233</v>
      </c>
      <c r="D4950" t="str">
        <f>HYPERLINK("https://rhld.insurance.arkansas.gov/NPILookup?Npi=1699515668","1699515668")</f>
        <v>1699515668</v>
      </c>
      <c r="E4950" t="s">
        <v>4295</v>
      </c>
      <c r="F4950" t="s">
        <v>13</v>
      </c>
      <c r="G4950" s="20">
        <v>1</v>
      </c>
      <c r="H4950" t="s">
        <v>4357</v>
      </c>
      <c r="I4950" t="s">
        <v>4357</v>
      </c>
      <c r="J4950" s="9">
        <v>54321</v>
      </c>
      <c r="K4950" s="9" t="s">
        <v>4639</v>
      </c>
      <c r="L4950" s="9"/>
    </row>
    <row r="4951" spans="2:12" ht="15" x14ac:dyDescent="0.25">
      <c r="B4951" t="s">
        <v>4232</v>
      </c>
      <c r="C4951" t="s">
        <v>4233</v>
      </c>
      <c r="D4951" t="str">
        <f>HYPERLINK("https://rhld.insurance.arkansas.gov/NPILookup?Npi=1700582731","1700582731")</f>
        <v>1700582731</v>
      </c>
      <c r="E4951" t="s">
        <v>4296</v>
      </c>
      <c r="F4951" t="s">
        <v>13</v>
      </c>
      <c r="G4951" s="20">
        <v>1</v>
      </c>
      <c r="H4951" t="s">
        <v>4357</v>
      </c>
      <c r="I4951" t="s">
        <v>4357</v>
      </c>
      <c r="J4951" s="9">
        <v>54321</v>
      </c>
      <c r="K4951" s="9" t="s">
        <v>4639</v>
      </c>
      <c r="L4951" s="9"/>
    </row>
    <row r="4952" spans="2:12" ht="15" x14ac:dyDescent="0.25">
      <c r="B4952" t="s">
        <v>4232</v>
      </c>
      <c r="C4952" t="s">
        <v>4233</v>
      </c>
      <c r="D4952" t="str">
        <f>HYPERLINK("https://rhld.insurance.arkansas.gov/NPILookup?Npi=1710710249","1710710249")</f>
        <v>1710710249</v>
      </c>
      <c r="E4952" t="s">
        <v>4297</v>
      </c>
      <c r="F4952" t="s">
        <v>13</v>
      </c>
      <c r="G4952" s="20">
        <v>1</v>
      </c>
      <c r="H4952" t="s">
        <v>4357</v>
      </c>
      <c r="I4952" t="s">
        <v>4357</v>
      </c>
      <c r="J4952" s="9">
        <v>54321</v>
      </c>
      <c r="K4952" s="9" t="s">
        <v>4639</v>
      </c>
      <c r="L4952" s="9"/>
    </row>
    <row r="4953" spans="2:12" ht="15" x14ac:dyDescent="0.25">
      <c r="B4953" t="s">
        <v>4232</v>
      </c>
      <c r="C4953" t="s">
        <v>4233</v>
      </c>
      <c r="D4953" t="str">
        <f>HYPERLINK("https://rhld.insurance.arkansas.gov/NPILookup?Npi=1730331851","1730331851")</f>
        <v>1730331851</v>
      </c>
      <c r="E4953" t="s">
        <v>4298</v>
      </c>
      <c r="F4953" t="s">
        <v>13</v>
      </c>
      <c r="G4953" s="20">
        <v>1</v>
      </c>
      <c r="H4953" t="s">
        <v>87</v>
      </c>
      <c r="I4953" t="s">
        <v>32</v>
      </c>
      <c r="J4953" s="9">
        <v>54321</v>
      </c>
      <c r="K4953" s="9" t="s">
        <v>23</v>
      </c>
      <c r="L4953" s="9"/>
    </row>
    <row r="4954" spans="2:12" ht="15" x14ac:dyDescent="0.25">
      <c r="B4954" t="s">
        <v>4232</v>
      </c>
      <c r="C4954" t="s">
        <v>4233</v>
      </c>
      <c r="D4954" t="str">
        <f>HYPERLINK("https://rhld.insurance.arkansas.gov/NPILookup?Npi=1730731779","1730731779")</f>
        <v>1730731779</v>
      </c>
      <c r="E4954" t="s">
        <v>4299</v>
      </c>
      <c r="F4954" t="s">
        <v>13</v>
      </c>
      <c r="G4954" s="20">
        <v>1</v>
      </c>
      <c r="H4954" t="s">
        <v>87</v>
      </c>
      <c r="I4954" t="s">
        <v>32</v>
      </c>
      <c r="J4954" s="9">
        <v>54321</v>
      </c>
      <c r="K4954" s="9" t="s">
        <v>23</v>
      </c>
      <c r="L4954" s="9"/>
    </row>
    <row r="4955" spans="2:12" ht="15" x14ac:dyDescent="0.25">
      <c r="B4955" t="s">
        <v>4232</v>
      </c>
      <c r="C4955" t="s">
        <v>4233</v>
      </c>
      <c r="D4955" t="str">
        <f>HYPERLINK("https://rhld.insurance.arkansas.gov/NPILookup?Npi=1730789702","1730789702")</f>
        <v>1730789702</v>
      </c>
      <c r="E4955" t="s">
        <v>4300</v>
      </c>
      <c r="F4955" t="s">
        <v>13</v>
      </c>
      <c r="G4955" s="20">
        <v>1</v>
      </c>
      <c r="H4955" t="s">
        <v>4357</v>
      </c>
      <c r="I4955" t="s">
        <v>4357</v>
      </c>
      <c r="J4955" s="9">
        <v>54321</v>
      </c>
      <c r="K4955" s="9" t="s">
        <v>23</v>
      </c>
      <c r="L4955" s="9"/>
    </row>
    <row r="4956" spans="2:12" ht="15" x14ac:dyDescent="0.25">
      <c r="B4956" t="s">
        <v>4232</v>
      </c>
      <c r="C4956" t="s">
        <v>4233</v>
      </c>
      <c r="D4956" t="str">
        <f>HYPERLINK("https://rhld.insurance.arkansas.gov/NPILookup?Npi=1760753875","1760753875")</f>
        <v>1760753875</v>
      </c>
      <c r="E4956" t="s">
        <v>4301</v>
      </c>
      <c r="F4956" t="s">
        <v>13</v>
      </c>
      <c r="G4956" s="20">
        <v>1</v>
      </c>
      <c r="H4956" t="s">
        <v>4357</v>
      </c>
      <c r="I4956" t="s">
        <v>4357</v>
      </c>
      <c r="J4956" s="9">
        <v>54321</v>
      </c>
      <c r="K4956" s="9" t="s">
        <v>23</v>
      </c>
      <c r="L4956" s="9"/>
    </row>
    <row r="4957" spans="2:12" ht="15" x14ac:dyDescent="0.25">
      <c r="B4957" t="s">
        <v>4232</v>
      </c>
      <c r="C4957" t="s">
        <v>4233</v>
      </c>
      <c r="D4957" t="str">
        <f>HYPERLINK("https://rhld.insurance.arkansas.gov/NPILookup?Npi=1780438713","1780438713")</f>
        <v>1780438713</v>
      </c>
      <c r="E4957" t="s">
        <v>4302</v>
      </c>
      <c r="F4957" t="s">
        <v>13</v>
      </c>
      <c r="G4957" s="20">
        <v>1</v>
      </c>
      <c r="H4957" t="s">
        <v>4357</v>
      </c>
      <c r="I4957" t="s">
        <v>4357</v>
      </c>
      <c r="J4957" s="9">
        <v>54321</v>
      </c>
      <c r="K4957" s="9" t="s">
        <v>4641</v>
      </c>
      <c r="L4957" s="9"/>
    </row>
    <row r="4958" spans="2:12" ht="15" x14ac:dyDescent="0.25">
      <c r="B4958" t="s">
        <v>4232</v>
      </c>
      <c r="C4958" t="s">
        <v>4233</v>
      </c>
      <c r="D4958" t="str">
        <f>HYPERLINK("https://rhld.insurance.arkansas.gov/NPILookup?Npi=1790423465","1790423465")</f>
        <v>1790423465</v>
      </c>
      <c r="E4958" t="s">
        <v>4303</v>
      </c>
      <c r="F4958" t="s">
        <v>13</v>
      </c>
      <c r="G4958" s="20">
        <v>1</v>
      </c>
      <c r="H4958" t="s">
        <v>4357</v>
      </c>
      <c r="I4958" t="s">
        <v>4357</v>
      </c>
      <c r="J4958" s="9">
        <v>54321</v>
      </c>
      <c r="K4958" s="9" t="s">
        <v>23</v>
      </c>
      <c r="L4958" s="9"/>
    </row>
    <row r="4959" spans="2:12" ht="15" x14ac:dyDescent="0.25">
      <c r="B4959" t="s">
        <v>4232</v>
      </c>
      <c r="C4959" t="s">
        <v>4233</v>
      </c>
      <c r="D4959" t="str">
        <f>HYPERLINK("https://rhld.insurance.arkansas.gov/NPILookup?Npi=1821838020","1821838020")</f>
        <v>1821838020</v>
      </c>
      <c r="E4959" t="s">
        <v>845</v>
      </c>
      <c r="F4959" t="s">
        <v>13</v>
      </c>
      <c r="G4959" s="20">
        <v>1</v>
      </c>
      <c r="H4959" t="s">
        <v>4357</v>
      </c>
      <c r="I4959" t="s">
        <v>4357</v>
      </c>
      <c r="J4959" s="9">
        <v>54321</v>
      </c>
      <c r="K4959" s="9" t="s">
        <v>4641</v>
      </c>
      <c r="L4959" s="9"/>
    </row>
    <row r="4960" spans="2:12" ht="15" x14ac:dyDescent="0.25">
      <c r="B4960" t="s">
        <v>4232</v>
      </c>
      <c r="C4960" t="s">
        <v>4233</v>
      </c>
      <c r="D4960" t="str">
        <f>HYPERLINK("https://rhld.insurance.arkansas.gov/NPILookup?Npi=1831928381","1831928381")</f>
        <v>1831928381</v>
      </c>
      <c r="E4960" t="s">
        <v>4304</v>
      </c>
      <c r="F4960" t="s">
        <v>13</v>
      </c>
      <c r="G4960" s="20">
        <v>1</v>
      </c>
      <c r="H4960" t="s">
        <v>4357</v>
      </c>
      <c r="I4960" t="s">
        <v>4357</v>
      </c>
      <c r="J4960" s="9">
        <v>54321</v>
      </c>
      <c r="K4960" s="9" t="s">
        <v>23</v>
      </c>
      <c r="L4960" s="9"/>
    </row>
    <row r="4961" spans="2:12" ht="15" x14ac:dyDescent="0.25">
      <c r="B4961" t="s">
        <v>4232</v>
      </c>
      <c r="C4961" t="s">
        <v>4233</v>
      </c>
      <c r="D4961" t="str">
        <f>HYPERLINK("https://rhld.insurance.arkansas.gov/NPILookup?Npi=1841525011","1841525011")</f>
        <v>1841525011</v>
      </c>
      <c r="E4961" t="s">
        <v>4305</v>
      </c>
      <c r="F4961" t="s">
        <v>13</v>
      </c>
      <c r="G4961" s="20">
        <v>1</v>
      </c>
      <c r="H4961" t="s">
        <v>87</v>
      </c>
      <c r="I4961" t="s">
        <v>4357</v>
      </c>
      <c r="J4961" s="9">
        <v>54321</v>
      </c>
      <c r="K4961" s="23" t="s">
        <v>23</v>
      </c>
      <c r="L4961" s="9"/>
    </row>
    <row r="4962" spans="2:12" ht="15" x14ac:dyDescent="0.25">
      <c r="B4962" t="s">
        <v>4232</v>
      </c>
      <c r="C4962" t="s">
        <v>4233</v>
      </c>
      <c r="D4962" t="str">
        <f>HYPERLINK("https://rhld.insurance.arkansas.gov/NPILookup?Npi=1841536331","1841536331")</f>
        <v>1841536331</v>
      </c>
      <c r="E4962" t="s">
        <v>4306</v>
      </c>
      <c r="F4962" t="s">
        <v>13</v>
      </c>
      <c r="G4962" s="20">
        <v>1</v>
      </c>
      <c r="H4962" t="s">
        <v>4357</v>
      </c>
      <c r="I4962" t="s">
        <v>4357</v>
      </c>
      <c r="J4962" s="9">
        <v>54321</v>
      </c>
      <c r="K4962" s="9" t="s">
        <v>23</v>
      </c>
      <c r="L4962" s="9"/>
    </row>
    <row r="4963" spans="2:12" ht="15" x14ac:dyDescent="0.25">
      <c r="B4963" t="s">
        <v>4232</v>
      </c>
      <c r="C4963" t="s">
        <v>4233</v>
      </c>
      <c r="D4963" t="str">
        <f>HYPERLINK("https://rhld.insurance.arkansas.gov/NPILookup?Npi=1861864530","1861864530")</f>
        <v>1861864530</v>
      </c>
      <c r="E4963" t="s">
        <v>4307</v>
      </c>
      <c r="F4963" t="s">
        <v>13</v>
      </c>
      <c r="G4963" s="20">
        <v>1</v>
      </c>
      <c r="H4963" t="s">
        <v>87</v>
      </c>
      <c r="I4963" t="s">
        <v>4357</v>
      </c>
      <c r="J4963" s="9">
        <v>54321</v>
      </c>
      <c r="K4963" s="9" t="s">
        <v>23</v>
      </c>
      <c r="L4963" s="9"/>
    </row>
    <row r="4964" spans="2:12" ht="15" x14ac:dyDescent="0.25">
      <c r="B4964" t="s">
        <v>4232</v>
      </c>
      <c r="C4964" t="s">
        <v>4233</v>
      </c>
      <c r="D4964" t="str">
        <f>HYPERLINK("https://rhld.insurance.arkansas.gov/NPILookup?Npi=1871335117","1871335117")</f>
        <v>1871335117</v>
      </c>
      <c r="E4964" t="s">
        <v>4308</v>
      </c>
      <c r="F4964" t="s">
        <v>13</v>
      </c>
      <c r="G4964" s="20">
        <v>1</v>
      </c>
      <c r="H4964" t="s">
        <v>4357</v>
      </c>
      <c r="I4964" t="s">
        <v>4357</v>
      </c>
      <c r="J4964" s="9">
        <v>54321</v>
      </c>
      <c r="K4964" s="23" t="s">
        <v>23</v>
      </c>
      <c r="L4964" s="9"/>
    </row>
    <row r="4965" spans="2:12" ht="15" x14ac:dyDescent="0.25">
      <c r="B4965" t="s">
        <v>4232</v>
      </c>
      <c r="C4965" s="21" t="s">
        <v>4233</v>
      </c>
      <c r="D4965" s="21" t="str">
        <f>HYPERLINK("https://rhld.insurance.arkansas.gov/NPILookup?Npi=1881807949","1881807949")</f>
        <v>1881807949</v>
      </c>
      <c r="E4965" s="21" t="s">
        <v>4309</v>
      </c>
      <c r="F4965" s="21" t="s">
        <v>12</v>
      </c>
      <c r="G4965" s="22">
        <v>1</v>
      </c>
      <c r="H4965" s="21" t="s">
        <v>4338</v>
      </c>
      <c r="I4965" s="21" t="s">
        <v>32</v>
      </c>
      <c r="J4965" s="9">
        <v>54321</v>
      </c>
      <c r="K4965" s="9" t="s">
        <v>23</v>
      </c>
      <c r="L4965" s="9"/>
    </row>
    <row r="4966" spans="2:12" ht="15" x14ac:dyDescent="0.25">
      <c r="B4966" t="s">
        <v>4232</v>
      </c>
      <c r="C4966" t="s">
        <v>4233</v>
      </c>
      <c r="D4966" t="str">
        <f>HYPERLINK("https://rhld.insurance.arkansas.gov/NPILookup?Npi=1891039806","1891039806")</f>
        <v>1891039806</v>
      </c>
      <c r="E4966" t="s">
        <v>4310</v>
      </c>
      <c r="F4966" t="s">
        <v>13</v>
      </c>
      <c r="G4966" s="20">
        <v>1</v>
      </c>
      <c r="H4966" t="s">
        <v>4357</v>
      </c>
      <c r="I4966" t="s">
        <v>4357</v>
      </c>
      <c r="J4966" s="9">
        <v>54321</v>
      </c>
      <c r="K4966" s="9" t="s">
        <v>23</v>
      </c>
      <c r="L4966" s="9"/>
    </row>
    <row r="4967" spans="2:12" ht="15" x14ac:dyDescent="0.25">
      <c r="B4967" t="s">
        <v>4232</v>
      </c>
      <c r="C4967" t="s">
        <v>4233</v>
      </c>
      <c r="D4967" t="str">
        <f>HYPERLINK("https://rhld.insurance.arkansas.gov/NPILookup?Npi=1891504536","1891504536")</f>
        <v>1891504536</v>
      </c>
      <c r="E4967" t="s">
        <v>4311</v>
      </c>
      <c r="F4967" t="s">
        <v>13</v>
      </c>
      <c r="G4967" s="20">
        <v>1</v>
      </c>
      <c r="H4967" t="s">
        <v>4357</v>
      </c>
      <c r="I4967" t="s">
        <v>4357</v>
      </c>
      <c r="J4967" s="9">
        <v>54321</v>
      </c>
      <c r="K4967" s="9" t="s">
        <v>23</v>
      </c>
      <c r="L4967" s="9"/>
    </row>
    <row r="4968" spans="2:12" ht="15" x14ac:dyDescent="0.25">
      <c r="B4968" t="s">
        <v>4232</v>
      </c>
      <c r="C4968" s="21" t="s">
        <v>4233</v>
      </c>
      <c r="D4968" s="21" t="str">
        <f>HYPERLINK("https://rhld.insurance.arkansas.gov/NPILookup?Npi=1902397615","1902397615")</f>
        <v>1902397615</v>
      </c>
      <c r="E4968" s="21" t="s">
        <v>4312</v>
      </c>
      <c r="F4968" s="21" t="s">
        <v>12</v>
      </c>
      <c r="G4968" s="22">
        <v>1</v>
      </c>
      <c r="H4968" s="21" t="s">
        <v>4338</v>
      </c>
      <c r="I4968" s="21" t="s">
        <v>32</v>
      </c>
      <c r="J4968" s="9">
        <v>54321</v>
      </c>
      <c r="K4968" s="23" t="s">
        <v>23</v>
      </c>
      <c r="L4968" s="9"/>
    </row>
    <row r="4969" spans="2:12" ht="15" x14ac:dyDescent="0.25">
      <c r="B4969" t="s">
        <v>4232</v>
      </c>
      <c r="C4969" t="s">
        <v>4233</v>
      </c>
      <c r="D4969" t="str">
        <f>HYPERLINK("https://rhld.insurance.arkansas.gov/NPILookup?Npi=1912565789","1912565789")</f>
        <v>1912565789</v>
      </c>
      <c r="E4969" t="s">
        <v>4313</v>
      </c>
      <c r="F4969" t="s">
        <v>13</v>
      </c>
      <c r="G4969" s="20">
        <v>1</v>
      </c>
      <c r="H4969" t="s">
        <v>4357</v>
      </c>
      <c r="I4969" t="s">
        <v>4357</v>
      </c>
      <c r="J4969" s="9">
        <v>54321</v>
      </c>
      <c r="K4969" s="9" t="s">
        <v>4639</v>
      </c>
      <c r="L4969" s="9"/>
    </row>
    <row r="4970" spans="2:12" ht="15" x14ac:dyDescent="0.25">
      <c r="B4970" t="s">
        <v>4232</v>
      </c>
      <c r="C4970" t="s">
        <v>4233</v>
      </c>
      <c r="D4970" t="str">
        <f>HYPERLINK("https://rhld.insurance.arkansas.gov/NPILookup?Npi=1922735885","1922735885")</f>
        <v>1922735885</v>
      </c>
      <c r="E4970" t="s">
        <v>4314</v>
      </c>
      <c r="F4970" t="s">
        <v>13</v>
      </c>
      <c r="G4970" s="20">
        <v>1</v>
      </c>
      <c r="H4970" t="s">
        <v>4357</v>
      </c>
      <c r="I4970" t="s">
        <v>4357</v>
      </c>
      <c r="J4970" s="9">
        <v>54321</v>
      </c>
      <c r="K4970" s="9" t="s">
        <v>23</v>
      </c>
      <c r="L4970" s="9"/>
    </row>
    <row r="4971" spans="2:12" ht="15" x14ac:dyDescent="0.25">
      <c r="B4971" t="s">
        <v>4232</v>
      </c>
      <c r="C4971" t="s">
        <v>4233</v>
      </c>
      <c r="D4971" t="str">
        <f>HYPERLINK("https://rhld.insurance.arkansas.gov/NPILookup?Npi=1942083126","1942083126")</f>
        <v>1942083126</v>
      </c>
      <c r="E4971" t="s">
        <v>4315</v>
      </c>
      <c r="F4971" t="s">
        <v>13</v>
      </c>
      <c r="G4971" s="20">
        <v>1</v>
      </c>
      <c r="H4971" t="s">
        <v>4357</v>
      </c>
      <c r="I4971" t="s">
        <v>4357</v>
      </c>
      <c r="J4971" s="9">
        <v>54321</v>
      </c>
      <c r="K4971" s="9" t="s">
        <v>23</v>
      </c>
      <c r="L4971" s="9"/>
    </row>
    <row r="4972" spans="2:12" ht="15" x14ac:dyDescent="0.25">
      <c r="B4972" t="s">
        <v>4232</v>
      </c>
      <c r="C4972" s="21" t="s">
        <v>4233</v>
      </c>
      <c r="D4972" s="21" t="str">
        <f>HYPERLINK("https://rhld.insurance.arkansas.gov/NPILookup?Npi=1942421318","1942421318")</f>
        <v>1942421318</v>
      </c>
      <c r="E4972" s="21" t="s">
        <v>4316</v>
      </c>
      <c r="F4972" s="21" t="s">
        <v>12</v>
      </c>
      <c r="G4972" s="22">
        <v>1</v>
      </c>
      <c r="H4972" s="21" t="s">
        <v>4245</v>
      </c>
      <c r="I4972" s="21" t="s">
        <v>32</v>
      </c>
      <c r="J4972" s="9">
        <v>54321</v>
      </c>
      <c r="K4972" s="9" t="s">
        <v>23</v>
      </c>
      <c r="L4972" s="9"/>
    </row>
    <row r="4973" spans="2:12" ht="15" x14ac:dyDescent="0.25">
      <c r="B4973" t="s">
        <v>4232</v>
      </c>
      <c r="C4973" t="s">
        <v>4233</v>
      </c>
      <c r="D4973" t="str">
        <f>HYPERLINK("https://rhld.insurance.arkansas.gov/NPILookup?Npi=1942826409","1942826409")</f>
        <v>1942826409</v>
      </c>
      <c r="E4973" t="s">
        <v>4317</v>
      </c>
      <c r="F4973" t="s">
        <v>13</v>
      </c>
      <c r="G4973" s="20">
        <v>1</v>
      </c>
      <c r="H4973" t="s">
        <v>4357</v>
      </c>
      <c r="I4973" t="s">
        <v>4357</v>
      </c>
      <c r="J4973" s="9">
        <v>54321</v>
      </c>
      <c r="K4973" s="9" t="s">
        <v>23</v>
      </c>
      <c r="L4973" s="9"/>
    </row>
    <row r="4974" spans="2:12" ht="15" x14ac:dyDescent="0.25">
      <c r="B4974" t="s">
        <v>4232</v>
      </c>
      <c r="C4974" t="s">
        <v>4233</v>
      </c>
      <c r="D4974" t="str">
        <f>HYPERLINK("https://rhld.insurance.arkansas.gov/NPILookup?Npi=1972359164","1972359164")</f>
        <v>1972359164</v>
      </c>
      <c r="E4974" t="s">
        <v>4318</v>
      </c>
      <c r="F4974" t="s">
        <v>13</v>
      </c>
      <c r="G4974" s="20">
        <v>1</v>
      </c>
      <c r="H4974" t="s">
        <v>4357</v>
      </c>
      <c r="I4974" t="s">
        <v>4357</v>
      </c>
      <c r="J4974" s="9">
        <v>54321</v>
      </c>
      <c r="K4974" s="23" t="s">
        <v>23</v>
      </c>
      <c r="L4974" s="9"/>
    </row>
    <row r="4975" spans="2:12" ht="15" x14ac:dyDescent="0.25">
      <c r="B4975" t="s">
        <v>4232</v>
      </c>
      <c r="C4975" t="s">
        <v>4233</v>
      </c>
      <c r="D4975" t="str">
        <f>HYPERLINK("https://rhld.insurance.arkansas.gov/NPILookup?Npi=1972723492","1972723492")</f>
        <v>1972723492</v>
      </c>
      <c r="E4975" t="s">
        <v>4319</v>
      </c>
      <c r="F4975" t="s">
        <v>13</v>
      </c>
      <c r="G4975" s="20">
        <v>1</v>
      </c>
      <c r="H4975" t="s">
        <v>4357</v>
      </c>
      <c r="I4975" t="s">
        <v>4357</v>
      </c>
      <c r="J4975" s="9">
        <v>54321</v>
      </c>
      <c r="K4975" s="23" t="s">
        <v>23</v>
      </c>
      <c r="L4975" s="9"/>
    </row>
    <row r="4976" spans="2:12" ht="15" x14ac:dyDescent="0.25">
      <c r="B4976" t="s">
        <v>4232</v>
      </c>
      <c r="C4976" t="s">
        <v>4233</v>
      </c>
      <c r="D4976" t="str">
        <f>HYPERLINK("https://rhld.insurance.arkansas.gov/NPILookup?Npi=1982488466","1982488466")</f>
        <v>1982488466</v>
      </c>
      <c r="E4976" t="s">
        <v>4320</v>
      </c>
      <c r="F4976" t="s">
        <v>13</v>
      </c>
      <c r="G4976" s="20">
        <v>1</v>
      </c>
      <c r="H4976" t="s">
        <v>4357</v>
      </c>
      <c r="I4976" t="s">
        <v>4357</v>
      </c>
      <c r="J4976" s="9">
        <v>54321</v>
      </c>
      <c r="K4976" s="23" t="s">
        <v>23</v>
      </c>
      <c r="L4976" s="9"/>
    </row>
    <row r="4977" spans="2:12" ht="15" x14ac:dyDescent="0.25">
      <c r="B4977" t="s">
        <v>4232</v>
      </c>
      <c r="C4977" t="s">
        <v>4233</v>
      </c>
      <c r="D4977" t="str">
        <f>HYPERLINK("https://rhld.insurance.arkansas.gov/NPILookup?Npi=1992320238","1992320238")</f>
        <v>1992320238</v>
      </c>
      <c r="E4977" t="s">
        <v>4321</v>
      </c>
      <c r="F4977" t="s">
        <v>13</v>
      </c>
      <c r="G4977" s="20">
        <v>1</v>
      </c>
      <c r="H4977" t="s">
        <v>4357</v>
      </c>
      <c r="I4977" t="s">
        <v>4357</v>
      </c>
      <c r="J4977" s="9">
        <v>54321</v>
      </c>
      <c r="K4977" s="23" t="s">
        <v>23</v>
      </c>
      <c r="L4977" s="9"/>
    </row>
    <row r="4978" spans="2:12" ht="15" x14ac:dyDescent="0.25">
      <c r="B4978" t="s">
        <v>4322</v>
      </c>
      <c r="C4978" s="21" t="s">
        <v>4323</v>
      </c>
      <c r="D4978" s="21" t="str">
        <f>HYPERLINK("https://rhld.insurance.arkansas.gov/NPILookup?Npi=1003816901","1003816901")</f>
        <v>1003816901</v>
      </c>
      <c r="E4978" s="21" t="s">
        <v>4324</v>
      </c>
      <c r="F4978" s="21" t="s">
        <v>12</v>
      </c>
      <c r="G4978" s="22">
        <v>1</v>
      </c>
      <c r="H4978" s="21" t="s">
        <v>141</v>
      </c>
      <c r="I4978" s="21" t="s">
        <v>32</v>
      </c>
      <c r="J4978" s="9">
        <v>54321</v>
      </c>
      <c r="K4978" s="9" t="s">
        <v>4639</v>
      </c>
      <c r="L4978" s="9"/>
    </row>
    <row r="4979" spans="2:12" ht="15" x14ac:dyDescent="0.25">
      <c r="B4979" t="s">
        <v>4322</v>
      </c>
      <c r="C4979" s="21" t="s">
        <v>4323</v>
      </c>
      <c r="D4979" s="21" t="str">
        <f>HYPERLINK("https://rhld.insurance.arkansas.gov/NPILookup?Npi=1043363005","1043363005")</f>
        <v>1043363005</v>
      </c>
      <c r="E4979" s="21" t="s">
        <v>1112</v>
      </c>
      <c r="F4979" s="21" t="s">
        <v>12</v>
      </c>
      <c r="G4979" s="22">
        <v>1</v>
      </c>
      <c r="H4979" s="21" t="s">
        <v>4338</v>
      </c>
      <c r="I4979" s="21" t="s">
        <v>4357</v>
      </c>
      <c r="J4979" s="9">
        <v>54321</v>
      </c>
      <c r="K4979" s="23" t="s">
        <v>23</v>
      </c>
      <c r="L4979" s="9"/>
    </row>
    <row r="4980" spans="2:12" ht="15" x14ac:dyDescent="0.25">
      <c r="B4980" t="s">
        <v>4322</v>
      </c>
      <c r="C4980" s="21" t="s">
        <v>4323</v>
      </c>
      <c r="D4980" s="21" t="str">
        <f>HYPERLINK("https://rhld.insurance.arkansas.gov/NPILookup?Npi=1205806510","1205806510")</f>
        <v>1205806510</v>
      </c>
      <c r="E4980" s="21" t="s">
        <v>4325</v>
      </c>
      <c r="F4980" s="21" t="s">
        <v>12</v>
      </c>
      <c r="G4980" s="22">
        <v>1</v>
      </c>
      <c r="H4980" s="21" t="s">
        <v>4338</v>
      </c>
      <c r="I4980" s="21" t="s">
        <v>32</v>
      </c>
      <c r="J4980" s="9">
        <v>54321</v>
      </c>
      <c r="K4980" s="23" t="s">
        <v>23</v>
      </c>
      <c r="L4980" s="9"/>
    </row>
    <row r="4981" spans="2:12" ht="15" x14ac:dyDescent="0.25">
      <c r="B4981" t="s">
        <v>4322</v>
      </c>
      <c r="C4981" s="21" t="s">
        <v>4323</v>
      </c>
      <c r="D4981" s="21" t="str">
        <f>HYPERLINK("https://rhld.insurance.arkansas.gov/NPILookup?Npi=1265430201","1265430201")</f>
        <v>1265430201</v>
      </c>
      <c r="E4981" s="21" t="s">
        <v>504</v>
      </c>
      <c r="F4981" s="21" t="s">
        <v>12</v>
      </c>
      <c r="G4981" s="22">
        <v>1</v>
      </c>
      <c r="H4981" s="21" t="s">
        <v>4338</v>
      </c>
      <c r="I4981" s="21" t="s">
        <v>32</v>
      </c>
      <c r="J4981" s="9">
        <v>54321</v>
      </c>
      <c r="K4981" s="23" t="s">
        <v>23</v>
      </c>
      <c r="L4981" s="9"/>
    </row>
    <row r="4982" spans="2:12" ht="15" x14ac:dyDescent="0.25">
      <c r="B4982" t="s">
        <v>4322</v>
      </c>
      <c r="C4982" t="s">
        <v>4323</v>
      </c>
      <c r="D4982" t="str">
        <f>HYPERLINK("https://rhld.insurance.arkansas.gov/NPILookup?Npi=1346703832","1346703832")</f>
        <v>1346703832</v>
      </c>
      <c r="E4982" t="s">
        <v>4326</v>
      </c>
      <c r="F4982" t="s">
        <v>13</v>
      </c>
      <c r="G4982" s="20">
        <v>1</v>
      </c>
      <c r="H4982" t="s">
        <v>4357</v>
      </c>
      <c r="I4982" t="s">
        <v>4357</v>
      </c>
      <c r="J4982" s="9">
        <v>54321</v>
      </c>
      <c r="K4982" s="23" t="s">
        <v>23</v>
      </c>
      <c r="L4982" s="9"/>
    </row>
    <row r="4983" spans="2:12" ht="15" x14ac:dyDescent="0.25">
      <c r="B4983" t="s">
        <v>4322</v>
      </c>
      <c r="C4983" s="21" t="s">
        <v>4323</v>
      </c>
      <c r="D4983" s="21" t="str">
        <f>HYPERLINK("https://rhld.insurance.arkansas.gov/NPILookup?Npi=1558469833","1558469833")</f>
        <v>1558469833</v>
      </c>
      <c r="E4983" s="21" t="s">
        <v>2896</v>
      </c>
      <c r="F4983" s="21" t="s">
        <v>12</v>
      </c>
      <c r="G4983" s="22">
        <v>1</v>
      </c>
      <c r="H4983" s="21" t="s">
        <v>4338</v>
      </c>
      <c r="I4983" s="21" t="s">
        <v>32</v>
      </c>
      <c r="J4983" s="9">
        <v>54321</v>
      </c>
      <c r="K4983" s="23" t="s">
        <v>23</v>
      </c>
      <c r="L4983" s="9"/>
    </row>
    <row r="4984" spans="2:12" ht="15" x14ac:dyDescent="0.25">
      <c r="B4984" t="s">
        <v>4322</v>
      </c>
      <c r="C4984" s="21" t="s">
        <v>4323</v>
      </c>
      <c r="D4984" s="21" t="str">
        <f>HYPERLINK("https://rhld.insurance.arkansas.gov/NPILookup?Npi=1639340599","1639340599")</f>
        <v>1639340599</v>
      </c>
      <c r="E4984" s="21" t="s">
        <v>4327</v>
      </c>
      <c r="F4984" s="21" t="s">
        <v>12</v>
      </c>
      <c r="G4984" s="22">
        <v>1</v>
      </c>
      <c r="H4984" s="21" t="s">
        <v>4338</v>
      </c>
      <c r="I4984" s="21" t="s">
        <v>32</v>
      </c>
      <c r="J4984" s="9">
        <v>54321</v>
      </c>
      <c r="K4984" s="23" t="s">
        <v>23</v>
      </c>
      <c r="L4984" s="9"/>
    </row>
    <row r="4985" spans="2:12" ht="15" x14ac:dyDescent="0.25">
      <c r="B4985" t="s">
        <v>4322</v>
      </c>
      <c r="C4985" s="21" t="s">
        <v>4323</v>
      </c>
      <c r="D4985" s="21" t="str">
        <f>HYPERLINK("https://rhld.insurance.arkansas.gov/NPILookup?Npi=1730183534","1730183534")</f>
        <v>1730183534</v>
      </c>
      <c r="E4985" s="21" t="s">
        <v>4328</v>
      </c>
      <c r="F4985" s="21" t="s">
        <v>12</v>
      </c>
      <c r="G4985" s="22">
        <v>1</v>
      </c>
      <c r="H4985" s="21" t="s">
        <v>141</v>
      </c>
      <c r="I4985" s="21" t="s">
        <v>4357</v>
      </c>
      <c r="J4985" s="9">
        <v>54321</v>
      </c>
      <c r="K4985" s="9" t="s">
        <v>23</v>
      </c>
      <c r="L4985" s="9"/>
    </row>
    <row r="4986" spans="2:12" ht="15" x14ac:dyDescent="0.25">
      <c r="B4986" t="s">
        <v>4322</v>
      </c>
      <c r="C4986" s="21" t="s">
        <v>4323</v>
      </c>
      <c r="D4986" s="21" t="str">
        <f>HYPERLINK("https://rhld.insurance.arkansas.gov/NPILookup?Npi=1740272368","1740272368")</f>
        <v>1740272368</v>
      </c>
      <c r="E4986" s="21" t="s">
        <v>1433</v>
      </c>
      <c r="F4986" s="21" t="s">
        <v>12</v>
      </c>
      <c r="G4986" s="22">
        <v>1</v>
      </c>
      <c r="H4986" s="21" t="s">
        <v>4338</v>
      </c>
      <c r="I4986" s="21" t="s">
        <v>32</v>
      </c>
      <c r="J4986" s="9">
        <v>54321</v>
      </c>
      <c r="K4986" s="9" t="s">
        <v>23</v>
      </c>
      <c r="L4986" s="9"/>
    </row>
    <row r="4987" spans="2:12" ht="15" x14ac:dyDescent="0.25">
      <c r="B4987" t="s">
        <v>4322</v>
      </c>
      <c r="C4987" s="21" t="s">
        <v>4323</v>
      </c>
      <c r="D4987" s="21" t="str">
        <f>HYPERLINK("https://rhld.insurance.arkansas.gov/NPILookup?Npi=1952309312","1952309312")</f>
        <v>1952309312</v>
      </c>
      <c r="E4987" s="21" t="s">
        <v>4118</v>
      </c>
      <c r="F4987" s="21" t="s">
        <v>12</v>
      </c>
      <c r="G4987" s="22">
        <v>1</v>
      </c>
      <c r="H4987" s="21" t="s">
        <v>4338</v>
      </c>
      <c r="I4987" s="21" t="s">
        <v>4357</v>
      </c>
      <c r="J4987" s="9">
        <v>54321</v>
      </c>
      <c r="K4987" s="23" t="s">
        <v>23</v>
      </c>
      <c r="L4987" s="9"/>
    </row>
    <row r="4988" spans="2:12" ht="15" x14ac:dyDescent="0.25">
      <c r="B4988" t="s">
        <v>4329</v>
      </c>
      <c r="C4988" s="21" t="s">
        <v>4330</v>
      </c>
      <c r="D4988" s="21" t="str">
        <f>HYPERLINK("https://rhld.insurance.arkansas.gov/NPILookup?Npi=1013259100","1013259100")</f>
        <v>1013259100</v>
      </c>
      <c r="E4988" s="21" t="s">
        <v>82</v>
      </c>
      <c r="F4988" s="21" t="s">
        <v>12</v>
      </c>
      <c r="G4988" s="22">
        <v>1</v>
      </c>
      <c r="H4988" s="21" t="s">
        <v>4331</v>
      </c>
      <c r="I4988" s="21" t="s">
        <v>32</v>
      </c>
      <c r="J4988" s="9">
        <v>54321</v>
      </c>
      <c r="K4988" s="23" t="s">
        <v>23</v>
      </c>
      <c r="L4988" s="9"/>
    </row>
    <row r="4989" spans="2:12" ht="15" x14ac:dyDescent="0.25">
      <c r="B4989" t="s">
        <v>4329</v>
      </c>
      <c r="C4989" t="s">
        <v>4330</v>
      </c>
      <c r="D4989" t="str">
        <f>HYPERLINK("https://rhld.insurance.arkansas.gov/NPILookup?Npi=1245627744","1245627744")</f>
        <v>1245627744</v>
      </c>
      <c r="E4989" t="s">
        <v>4332</v>
      </c>
      <c r="F4989" t="s">
        <v>13</v>
      </c>
      <c r="G4989" s="20">
        <v>2</v>
      </c>
      <c r="H4989" t="s">
        <v>439</v>
      </c>
      <c r="I4989" t="s">
        <v>4357</v>
      </c>
      <c r="J4989" s="9">
        <v>54321</v>
      </c>
      <c r="K4989" s="23" t="s">
        <v>23</v>
      </c>
      <c r="L4989" s="9"/>
    </row>
    <row r="4990" spans="2:12" ht="15" x14ac:dyDescent="0.25">
      <c r="B4990" t="s">
        <v>4329</v>
      </c>
      <c r="C4990" t="s">
        <v>4330</v>
      </c>
      <c r="D4990" t="str">
        <f>HYPERLINK("https://rhld.insurance.arkansas.gov/NPILookup?Npi=1437342797","1437342797")</f>
        <v>1437342797</v>
      </c>
      <c r="E4990" t="s">
        <v>106</v>
      </c>
      <c r="F4990" t="s">
        <v>13</v>
      </c>
      <c r="G4990" s="20">
        <v>1</v>
      </c>
      <c r="H4990" t="s">
        <v>4357</v>
      </c>
      <c r="I4990" t="s">
        <v>4357</v>
      </c>
      <c r="J4990" s="9">
        <v>54321</v>
      </c>
      <c r="K4990" s="9" t="s">
        <v>23</v>
      </c>
      <c r="L4990" s="9"/>
    </row>
    <row r="4991" spans="2:12" ht="15" x14ac:dyDescent="0.25">
      <c r="B4991" t="s">
        <v>4329</v>
      </c>
      <c r="C4991" s="21" t="s">
        <v>4330</v>
      </c>
      <c r="D4991" s="21" t="str">
        <f>HYPERLINK("https://rhld.insurance.arkansas.gov/NPILookup?Npi=1467820928","1467820928")</f>
        <v>1467820928</v>
      </c>
      <c r="E4991" s="21" t="s">
        <v>164</v>
      </c>
      <c r="F4991" s="21" t="s">
        <v>12</v>
      </c>
      <c r="G4991" s="22">
        <v>1</v>
      </c>
      <c r="H4991" s="21" t="s">
        <v>4338</v>
      </c>
      <c r="I4991" s="21" t="s">
        <v>32</v>
      </c>
      <c r="J4991" s="9">
        <v>54321</v>
      </c>
      <c r="K4991" s="23" t="s">
        <v>4639</v>
      </c>
      <c r="L4991" s="9"/>
    </row>
    <row r="4992" spans="2:12" ht="30" x14ac:dyDescent="0.25">
      <c r="B4992" t="s">
        <v>4329</v>
      </c>
      <c r="C4992" s="21" t="s">
        <v>4330</v>
      </c>
      <c r="D4992" s="21" t="str">
        <f>HYPERLINK("https://rhld.insurance.arkansas.gov/NPILookup?Npi=1477558955","1477558955")</f>
        <v>1477558955</v>
      </c>
      <c r="E4992" s="21" t="s">
        <v>109</v>
      </c>
      <c r="F4992" s="21" t="s">
        <v>12</v>
      </c>
      <c r="G4992" s="22">
        <v>1</v>
      </c>
      <c r="H4992" s="21" t="s">
        <v>4338</v>
      </c>
      <c r="I4992" s="21" t="s">
        <v>32</v>
      </c>
      <c r="J4992" s="9">
        <v>54321</v>
      </c>
      <c r="K4992" s="23" t="s">
        <v>22</v>
      </c>
      <c r="L4992" s="9" t="s">
        <v>4647</v>
      </c>
    </row>
    <row r="4993" spans="2:12" ht="15" x14ac:dyDescent="0.25">
      <c r="B4993" t="s">
        <v>4329</v>
      </c>
      <c r="C4993" s="21" t="s">
        <v>4330</v>
      </c>
      <c r="D4993" s="21" t="str">
        <f>HYPERLINK("https://rhld.insurance.arkansas.gov/NPILookup?Npi=1508198201","1508198201")</f>
        <v>1508198201</v>
      </c>
      <c r="E4993" s="21" t="s">
        <v>4333</v>
      </c>
      <c r="F4993" s="21" t="s">
        <v>12</v>
      </c>
      <c r="G4993" s="22">
        <v>1</v>
      </c>
      <c r="H4993" s="21" t="s">
        <v>4338</v>
      </c>
      <c r="I4993" s="21" t="s">
        <v>32</v>
      </c>
      <c r="J4993" s="9">
        <v>54321</v>
      </c>
      <c r="K4993" s="23" t="s">
        <v>4639</v>
      </c>
      <c r="L4993" s="9"/>
    </row>
    <row r="4994" spans="2:12" ht="15" x14ac:dyDescent="0.25">
      <c r="B4994" t="s">
        <v>4329</v>
      </c>
      <c r="C4994" t="s">
        <v>4330</v>
      </c>
      <c r="D4994" t="str">
        <f>HYPERLINK("https://rhld.insurance.arkansas.gov/NPILookup?Npi=1598297244","1598297244")</f>
        <v>1598297244</v>
      </c>
      <c r="E4994" t="s">
        <v>4334</v>
      </c>
      <c r="F4994" t="s">
        <v>13</v>
      </c>
      <c r="G4994" s="20">
        <v>1</v>
      </c>
      <c r="H4994" t="s">
        <v>4357</v>
      </c>
      <c r="I4994" t="s">
        <v>4357</v>
      </c>
      <c r="J4994" s="9">
        <v>54321</v>
      </c>
      <c r="K4994" s="23" t="s">
        <v>23</v>
      </c>
      <c r="L4994" s="9"/>
    </row>
    <row r="4995" spans="2:12" ht="15" x14ac:dyDescent="0.25">
      <c r="B4995" t="s">
        <v>4329</v>
      </c>
      <c r="C4995" s="21" t="s">
        <v>4330</v>
      </c>
      <c r="D4995" s="21" t="str">
        <f>HYPERLINK("https://rhld.insurance.arkansas.gov/NPILookup?Npi=1639165608","1639165608")</f>
        <v>1639165608</v>
      </c>
      <c r="E4995" s="21" t="s">
        <v>4335</v>
      </c>
      <c r="F4995" s="21" t="s">
        <v>12</v>
      </c>
      <c r="G4995" s="22">
        <v>1</v>
      </c>
      <c r="H4995" s="21" t="s">
        <v>4338</v>
      </c>
      <c r="I4995" s="21" t="s">
        <v>32</v>
      </c>
      <c r="J4995" s="9">
        <v>54321</v>
      </c>
      <c r="K4995" s="9" t="s">
        <v>4639</v>
      </c>
      <c r="L4995" s="9"/>
    </row>
    <row r="4996" spans="2:12" ht="15" x14ac:dyDescent="0.25">
      <c r="B4996" t="s">
        <v>4329</v>
      </c>
      <c r="C4996" s="21" t="s">
        <v>4330</v>
      </c>
      <c r="D4996" s="21" t="str">
        <f>HYPERLINK("https://rhld.insurance.arkansas.gov/NPILookup?Npi=1649447806","1649447806")</f>
        <v>1649447806</v>
      </c>
      <c r="E4996" s="21" t="s">
        <v>1066</v>
      </c>
      <c r="F4996" s="21" t="s">
        <v>12</v>
      </c>
      <c r="G4996" s="22">
        <v>1</v>
      </c>
      <c r="H4996" s="21" t="s">
        <v>4338</v>
      </c>
      <c r="I4996" s="21" t="s">
        <v>32</v>
      </c>
      <c r="J4996" s="9">
        <v>54321</v>
      </c>
      <c r="K4996" s="9"/>
      <c r="L4996" s="9"/>
    </row>
    <row r="4997" spans="2:12" ht="15" x14ac:dyDescent="0.25">
      <c r="B4997" t="s">
        <v>4329</v>
      </c>
      <c r="C4997" s="21" t="s">
        <v>4330</v>
      </c>
      <c r="D4997" s="21" t="str">
        <f>HYPERLINK("https://rhld.insurance.arkansas.gov/NPILookup?Npi=1699851436","1699851436")</f>
        <v>1699851436</v>
      </c>
      <c r="E4997" s="21" t="s">
        <v>1077</v>
      </c>
      <c r="F4997" s="21" t="s">
        <v>12</v>
      </c>
      <c r="G4997" s="22">
        <v>1</v>
      </c>
      <c r="H4997" s="21" t="s">
        <v>4338</v>
      </c>
      <c r="I4997" s="21" t="s">
        <v>32</v>
      </c>
      <c r="J4997" s="9">
        <v>54321</v>
      </c>
      <c r="K4997" s="9"/>
      <c r="L4997" s="9"/>
    </row>
    <row r="4998" spans="2:12" ht="15" x14ac:dyDescent="0.25">
      <c r="B4998" t="s">
        <v>4329</v>
      </c>
      <c r="C4998" s="21" t="s">
        <v>4330</v>
      </c>
      <c r="D4998" s="21" t="str">
        <f>HYPERLINK("https://rhld.insurance.arkansas.gov/NPILookup?Npi=1750474144","1750474144")</f>
        <v>1750474144</v>
      </c>
      <c r="E4998" s="21" t="s">
        <v>4336</v>
      </c>
      <c r="F4998" s="21" t="s">
        <v>12</v>
      </c>
      <c r="G4998" s="22">
        <v>1</v>
      </c>
      <c r="H4998" s="21" t="s">
        <v>139</v>
      </c>
      <c r="I4998" s="21" t="s">
        <v>32</v>
      </c>
      <c r="J4998" s="9">
        <v>54321</v>
      </c>
      <c r="K4998" s="9"/>
      <c r="L4998" s="9"/>
    </row>
    <row r="4999" spans="2:12" ht="15" x14ac:dyDescent="0.25">
      <c r="B4999" t="s">
        <v>4329</v>
      </c>
      <c r="C4999" t="s">
        <v>4330</v>
      </c>
      <c r="D4999" t="str">
        <f>HYPERLINK("https://rhld.insurance.arkansas.gov/NPILookup?Npi=1962466748","1962466748")</f>
        <v>1962466748</v>
      </c>
      <c r="E4999" t="s">
        <v>4337</v>
      </c>
      <c r="F4999" t="s">
        <v>13</v>
      </c>
      <c r="G4999" s="20">
        <v>1</v>
      </c>
      <c r="H4999" t="s">
        <v>87</v>
      </c>
      <c r="I4999" t="s">
        <v>32</v>
      </c>
      <c r="J4999" s="9">
        <v>54321</v>
      </c>
      <c r="K4999" s="9"/>
      <c r="L4999" s="9"/>
    </row>
    <row r="5000" spans="2:12" ht="15" x14ac:dyDescent="0.25">
      <c r="B5000"/>
      <c r="C5000"/>
      <c r="D5000"/>
      <c r="E5000"/>
      <c r="F5000"/>
      <c r="G5000" s="20"/>
      <c r="H5000"/>
      <c r="I5000"/>
      <c r="J5000" s="9"/>
      <c r="K5000" s="9"/>
      <c r="L5000" s="9"/>
    </row>
    <row r="5001" spans="2:12" ht="15" x14ac:dyDescent="0.25">
      <c r="B5001"/>
      <c r="C5001"/>
      <c r="D5001"/>
      <c r="E5001"/>
      <c r="F5001"/>
      <c r="G5001" s="20"/>
      <c r="H5001"/>
      <c r="I5001"/>
      <c r="J5001" s="9"/>
      <c r="K5001" s="9"/>
      <c r="L5001" s="9"/>
    </row>
    <row r="5002" spans="2:12" ht="15" x14ac:dyDescent="0.25">
      <c r="B5002"/>
      <c r="C5002"/>
      <c r="D5002"/>
      <c r="E5002"/>
      <c r="F5002"/>
      <c r="G5002" s="20"/>
      <c r="H5002"/>
      <c r="I5002"/>
      <c r="J5002" s="9"/>
      <c r="K5002" s="9"/>
      <c r="L5002" s="9"/>
    </row>
    <row r="5003" spans="2:12" ht="15" x14ac:dyDescent="0.25">
      <c r="B5003"/>
      <c r="C5003"/>
      <c r="D5003"/>
      <c r="E5003"/>
      <c r="F5003"/>
      <c r="G5003" s="20"/>
      <c r="H5003"/>
      <c r="I5003"/>
      <c r="J5003" s="9"/>
      <c r="K5003" s="9"/>
      <c r="L5003" s="9"/>
    </row>
    <row r="5004" spans="2:12" ht="15" x14ac:dyDescent="0.25">
      <c r="B5004"/>
      <c r="C5004"/>
      <c r="D5004"/>
      <c r="E5004"/>
      <c r="F5004"/>
      <c r="G5004" s="20"/>
      <c r="H5004"/>
      <c r="I5004"/>
      <c r="J5004" s="9"/>
      <c r="K5004" s="9"/>
      <c r="L5004" s="9"/>
    </row>
    <row r="5005" spans="2:12" ht="15" x14ac:dyDescent="0.25">
      <c r="B5005"/>
      <c r="C5005"/>
      <c r="D5005"/>
      <c r="E5005"/>
      <c r="F5005"/>
      <c r="G5005" s="20"/>
      <c r="H5005"/>
      <c r="I5005"/>
      <c r="J5005" s="9"/>
      <c r="K5005" s="9"/>
      <c r="L5005" s="9"/>
    </row>
    <row r="5006" spans="2:12" ht="15" x14ac:dyDescent="0.25">
      <c r="B5006"/>
      <c r="C5006"/>
      <c r="D5006"/>
      <c r="E5006"/>
      <c r="F5006"/>
      <c r="G5006" s="20"/>
      <c r="H5006"/>
      <c r="I5006"/>
      <c r="J5006" s="9"/>
      <c r="K5006" s="9"/>
      <c r="L5006" s="9"/>
    </row>
    <row r="5007" spans="2:12" ht="15" x14ac:dyDescent="0.25">
      <c r="B5007"/>
      <c r="C5007"/>
      <c r="D5007"/>
      <c r="E5007"/>
      <c r="F5007"/>
      <c r="G5007" s="20"/>
      <c r="H5007"/>
      <c r="I5007"/>
      <c r="J5007" s="9"/>
      <c r="K5007" s="9"/>
      <c r="L5007" s="9"/>
    </row>
    <row r="5008" spans="2:12" ht="15" x14ac:dyDescent="0.25">
      <c r="B5008"/>
      <c r="C5008"/>
      <c r="D5008"/>
      <c r="E5008"/>
      <c r="F5008"/>
      <c r="G5008" s="20"/>
      <c r="H5008"/>
      <c r="I5008"/>
      <c r="J5008" s="9"/>
      <c r="K5008" s="9"/>
      <c r="L5008" s="9"/>
    </row>
    <row r="5009" spans="2:12" ht="15" x14ac:dyDescent="0.25">
      <c r="B5009"/>
      <c r="C5009"/>
      <c r="D5009"/>
      <c r="E5009"/>
      <c r="F5009"/>
      <c r="G5009" s="20"/>
      <c r="H5009"/>
      <c r="I5009"/>
      <c r="J5009" s="9"/>
      <c r="K5009" s="9"/>
      <c r="L5009" s="9"/>
    </row>
    <row r="5010" spans="2:12" ht="15" x14ac:dyDescent="0.25">
      <c r="B5010"/>
      <c r="C5010"/>
      <c r="D5010"/>
      <c r="E5010"/>
      <c r="F5010"/>
      <c r="G5010" s="20"/>
      <c r="H5010"/>
      <c r="I5010"/>
      <c r="J5010" s="9"/>
      <c r="K5010" s="9"/>
      <c r="L5010" s="9"/>
    </row>
    <row r="5011" spans="2:12" ht="15" x14ac:dyDescent="0.25">
      <c r="B5011"/>
      <c r="C5011"/>
      <c r="D5011"/>
      <c r="E5011"/>
      <c r="F5011"/>
      <c r="G5011" s="20"/>
      <c r="H5011"/>
      <c r="I5011"/>
      <c r="J5011" s="9"/>
      <c r="K5011" s="9"/>
      <c r="L5011" s="9"/>
    </row>
    <row r="5012" spans="2:12" ht="15" x14ac:dyDescent="0.25">
      <c r="B5012"/>
      <c r="C5012"/>
      <c r="D5012"/>
      <c r="E5012"/>
      <c r="F5012"/>
      <c r="G5012" s="20"/>
      <c r="H5012"/>
      <c r="I5012"/>
      <c r="J5012" s="9"/>
      <c r="K5012" s="9"/>
      <c r="L5012" s="9"/>
    </row>
    <row r="5013" spans="2:12" ht="15" x14ac:dyDescent="0.25">
      <c r="B5013"/>
      <c r="C5013"/>
      <c r="D5013"/>
      <c r="E5013"/>
      <c r="F5013"/>
      <c r="G5013" s="20"/>
      <c r="H5013"/>
      <c r="I5013"/>
      <c r="J5013" s="9"/>
      <c r="K5013" s="9"/>
      <c r="L5013" s="9"/>
    </row>
    <row r="5014" spans="2:12" ht="15" x14ac:dyDescent="0.25">
      <c r="B5014"/>
      <c r="C5014"/>
      <c r="D5014"/>
      <c r="E5014"/>
      <c r="F5014"/>
      <c r="G5014" s="20"/>
      <c r="H5014"/>
      <c r="I5014"/>
      <c r="J5014" s="9"/>
      <c r="K5014" s="9"/>
      <c r="L5014" s="9"/>
    </row>
    <row r="5015" spans="2:12" ht="15" x14ac:dyDescent="0.25">
      <c r="B5015"/>
      <c r="C5015"/>
      <c r="D5015"/>
      <c r="E5015"/>
      <c r="F5015"/>
      <c r="G5015" s="20"/>
      <c r="H5015"/>
      <c r="I5015"/>
      <c r="J5015" s="9"/>
      <c r="K5015" s="9"/>
      <c r="L5015" s="9"/>
    </row>
    <row r="5016" spans="2:12" ht="15" x14ac:dyDescent="0.25">
      <c r="B5016"/>
      <c r="C5016"/>
      <c r="D5016"/>
      <c r="E5016"/>
      <c r="F5016"/>
      <c r="G5016" s="20"/>
      <c r="H5016"/>
      <c r="I5016"/>
      <c r="J5016" s="9"/>
      <c r="K5016" s="9"/>
      <c r="L5016" s="9"/>
    </row>
    <row r="5017" spans="2:12" ht="15" x14ac:dyDescent="0.25">
      <c r="B5017"/>
      <c r="C5017"/>
      <c r="D5017"/>
      <c r="E5017"/>
      <c r="F5017"/>
      <c r="G5017" s="20"/>
      <c r="H5017"/>
      <c r="I5017"/>
      <c r="J5017" s="9"/>
      <c r="K5017" s="9"/>
      <c r="L5017" s="9"/>
    </row>
    <row r="5018" spans="2:12" ht="15" x14ac:dyDescent="0.25">
      <c r="B5018"/>
      <c r="C5018"/>
      <c r="D5018"/>
      <c r="E5018"/>
      <c r="F5018"/>
      <c r="G5018" s="20"/>
      <c r="H5018"/>
      <c r="I5018"/>
      <c r="J5018" s="9"/>
      <c r="K5018" s="9"/>
      <c r="L5018" s="9"/>
    </row>
    <row r="5019" spans="2:12" ht="15" x14ac:dyDescent="0.25">
      <c r="B5019"/>
      <c r="C5019"/>
      <c r="D5019"/>
      <c r="E5019"/>
      <c r="F5019"/>
      <c r="G5019" s="20"/>
      <c r="H5019"/>
      <c r="I5019"/>
      <c r="J5019" s="9"/>
      <c r="K5019" s="9"/>
      <c r="L5019" s="9"/>
    </row>
    <row r="5020" spans="2:12" ht="15" x14ac:dyDescent="0.25">
      <c r="B5020"/>
      <c r="C5020"/>
      <c r="D5020"/>
      <c r="E5020"/>
      <c r="F5020"/>
      <c r="G5020" s="20"/>
      <c r="H5020"/>
      <c r="I5020"/>
      <c r="J5020" s="9"/>
      <c r="K5020" s="9"/>
      <c r="L5020" s="9"/>
    </row>
    <row r="5021" spans="2:12" ht="15" x14ac:dyDescent="0.25">
      <c r="B5021"/>
      <c r="C5021"/>
      <c r="D5021"/>
      <c r="E5021"/>
      <c r="F5021"/>
      <c r="G5021" s="20"/>
      <c r="H5021"/>
      <c r="I5021"/>
      <c r="J5021" s="9"/>
      <c r="K5021" s="9"/>
      <c r="L5021" s="9"/>
    </row>
    <row r="5022" spans="2:12" ht="15" x14ac:dyDescent="0.25">
      <c r="B5022"/>
      <c r="C5022"/>
      <c r="D5022"/>
      <c r="E5022"/>
      <c r="F5022"/>
      <c r="G5022" s="20"/>
      <c r="H5022"/>
      <c r="I5022"/>
      <c r="J5022" s="9"/>
      <c r="K5022" s="9"/>
      <c r="L5022" s="9"/>
    </row>
    <row r="5023" spans="2:12" ht="15" x14ac:dyDescent="0.25">
      <c r="B5023"/>
      <c r="C5023"/>
      <c r="D5023"/>
      <c r="E5023"/>
      <c r="F5023"/>
      <c r="G5023" s="20"/>
      <c r="H5023"/>
      <c r="I5023"/>
      <c r="J5023" s="9"/>
      <c r="K5023" s="9"/>
      <c r="L5023" s="9"/>
    </row>
    <row r="5024" spans="2:12" ht="15" x14ac:dyDescent="0.25">
      <c r="B5024"/>
      <c r="C5024"/>
      <c r="D5024"/>
      <c r="E5024"/>
      <c r="F5024"/>
      <c r="G5024" s="20"/>
      <c r="H5024"/>
      <c r="I5024"/>
      <c r="J5024" s="9"/>
      <c r="K5024" s="9"/>
      <c r="L5024" s="9"/>
    </row>
    <row r="5025" spans="2:12" ht="15" x14ac:dyDescent="0.25">
      <c r="B5025"/>
      <c r="C5025"/>
      <c r="D5025"/>
      <c r="E5025"/>
      <c r="F5025"/>
      <c r="G5025" s="20"/>
      <c r="H5025"/>
      <c r="I5025"/>
      <c r="J5025" s="9"/>
      <c r="K5025" s="9"/>
      <c r="L5025" s="9"/>
    </row>
    <row r="5026" spans="2:12" ht="15" x14ac:dyDescent="0.25">
      <c r="B5026"/>
      <c r="C5026"/>
      <c r="D5026"/>
      <c r="E5026"/>
      <c r="F5026"/>
      <c r="G5026" s="20"/>
      <c r="H5026"/>
      <c r="I5026"/>
      <c r="J5026" s="9"/>
      <c r="K5026" s="9"/>
      <c r="L5026" s="9"/>
    </row>
    <row r="5027" spans="2:12" ht="15" x14ac:dyDescent="0.25">
      <c r="B5027"/>
      <c r="C5027"/>
      <c r="D5027"/>
      <c r="E5027"/>
      <c r="F5027"/>
      <c r="G5027" s="20"/>
      <c r="H5027"/>
      <c r="I5027"/>
      <c r="J5027" s="9"/>
      <c r="K5027" s="9"/>
      <c r="L5027" s="9"/>
    </row>
    <row r="5028" spans="2:12" ht="15" x14ac:dyDescent="0.25">
      <c r="B5028"/>
      <c r="C5028"/>
      <c r="D5028"/>
      <c r="E5028"/>
      <c r="F5028"/>
      <c r="G5028" s="20"/>
      <c r="H5028"/>
      <c r="I5028"/>
      <c r="J5028" s="9"/>
      <c r="K5028" s="9"/>
      <c r="L5028" s="9"/>
    </row>
    <row r="5029" spans="2:12" ht="15" x14ac:dyDescent="0.25">
      <c r="B5029"/>
      <c r="C5029"/>
      <c r="D5029"/>
      <c r="E5029"/>
      <c r="F5029"/>
      <c r="G5029" s="20"/>
      <c r="H5029"/>
      <c r="I5029"/>
      <c r="J5029" s="9"/>
      <c r="K5029" s="9"/>
      <c r="L5029" s="9"/>
    </row>
    <row r="5030" spans="2:12" ht="15" x14ac:dyDescent="0.25">
      <c r="B5030"/>
      <c r="C5030"/>
      <c r="D5030"/>
      <c r="E5030"/>
      <c r="F5030"/>
      <c r="G5030" s="20"/>
      <c r="H5030"/>
      <c r="I5030"/>
      <c r="J5030" s="9"/>
      <c r="K5030" s="9"/>
      <c r="L5030" s="9"/>
    </row>
    <row r="5031" spans="2:12" ht="15" x14ac:dyDescent="0.25">
      <c r="B5031"/>
      <c r="C5031"/>
      <c r="D5031"/>
      <c r="E5031"/>
      <c r="F5031"/>
      <c r="G5031" s="20"/>
      <c r="H5031"/>
      <c r="I5031"/>
      <c r="J5031" s="9"/>
      <c r="K5031" s="9"/>
      <c r="L5031" s="9"/>
    </row>
    <row r="5032" spans="2:12" ht="15" x14ac:dyDescent="0.25">
      <c r="B5032"/>
      <c r="C5032"/>
      <c r="D5032"/>
      <c r="E5032"/>
      <c r="F5032"/>
      <c r="G5032" s="20"/>
      <c r="H5032"/>
      <c r="I5032"/>
      <c r="J5032" s="9"/>
      <c r="K5032" s="9"/>
      <c r="L5032" s="9"/>
    </row>
    <row r="5033" spans="2:12" ht="15" x14ac:dyDescent="0.25">
      <c r="B5033"/>
      <c r="C5033"/>
      <c r="D5033"/>
      <c r="E5033"/>
      <c r="F5033"/>
      <c r="G5033" s="20"/>
      <c r="H5033"/>
      <c r="I5033"/>
      <c r="J5033" s="9"/>
      <c r="K5033" s="9"/>
      <c r="L5033" s="9"/>
    </row>
    <row r="5034" spans="2:12" ht="15" x14ac:dyDescent="0.25">
      <c r="B5034"/>
      <c r="C5034"/>
      <c r="D5034"/>
      <c r="E5034"/>
      <c r="F5034"/>
      <c r="G5034" s="20"/>
      <c r="H5034"/>
      <c r="I5034"/>
      <c r="J5034" s="9"/>
      <c r="K5034" s="9"/>
      <c r="L5034" s="9"/>
    </row>
    <row r="5035" spans="2:12" ht="15" x14ac:dyDescent="0.25">
      <c r="B5035"/>
      <c r="C5035"/>
      <c r="D5035"/>
      <c r="E5035"/>
      <c r="F5035"/>
      <c r="G5035" s="20"/>
      <c r="H5035"/>
      <c r="I5035"/>
      <c r="J5035" s="9"/>
      <c r="K5035" s="9"/>
      <c r="L5035" s="9"/>
    </row>
    <row r="5036" spans="2:12" ht="15" x14ac:dyDescent="0.25">
      <c r="B5036"/>
      <c r="C5036"/>
      <c r="D5036"/>
      <c r="E5036"/>
      <c r="F5036"/>
      <c r="G5036" s="20"/>
      <c r="H5036"/>
      <c r="I5036"/>
      <c r="J5036" s="9"/>
      <c r="K5036" s="9"/>
      <c r="L5036" s="9"/>
    </row>
    <row r="5037" spans="2:12" ht="15" x14ac:dyDescent="0.25">
      <c r="B5037"/>
      <c r="C5037"/>
      <c r="D5037"/>
      <c r="E5037"/>
      <c r="F5037"/>
      <c r="G5037" s="20"/>
      <c r="H5037"/>
      <c r="I5037"/>
      <c r="J5037" s="9"/>
      <c r="K5037" s="9"/>
      <c r="L5037" s="9"/>
    </row>
    <row r="5038" spans="2:12" ht="15" x14ac:dyDescent="0.25">
      <c r="B5038"/>
      <c r="C5038"/>
      <c r="D5038"/>
      <c r="E5038"/>
      <c r="F5038"/>
      <c r="G5038" s="20"/>
      <c r="H5038"/>
      <c r="I5038"/>
      <c r="J5038" s="9"/>
      <c r="K5038" s="9"/>
      <c r="L5038" s="9"/>
    </row>
    <row r="5039" spans="2:12" ht="15" x14ac:dyDescent="0.25">
      <c r="B5039"/>
      <c r="C5039"/>
      <c r="D5039"/>
      <c r="E5039"/>
      <c r="F5039"/>
      <c r="G5039" s="20"/>
      <c r="H5039"/>
      <c r="I5039"/>
      <c r="J5039" s="9"/>
      <c r="K5039" s="9"/>
      <c r="L5039" s="9"/>
    </row>
    <row r="5040" spans="2:12" ht="15" x14ac:dyDescent="0.25">
      <c r="B5040"/>
      <c r="C5040"/>
      <c r="D5040"/>
      <c r="E5040"/>
      <c r="F5040"/>
      <c r="G5040" s="20"/>
      <c r="H5040"/>
      <c r="I5040"/>
      <c r="J5040" s="9"/>
      <c r="K5040" s="9"/>
      <c r="L5040" s="9"/>
    </row>
    <row r="5041" spans="2:12" ht="15" x14ac:dyDescent="0.25">
      <c r="B5041"/>
      <c r="C5041"/>
      <c r="D5041"/>
      <c r="E5041"/>
      <c r="F5041"/>
      <c r="G5041" s="20"/>
      <c r="H5041"/>
      <c r="I5041"/>
      <c r="J5041" s="9"/>
      <c r="K5041" s="9"/>
      <c r="L5041" s="9"/>
    </row>
    <row r="5042" spans="2:12" ht="15" x14ac:dyDescent="0.25">
      <c r="B5042"/>
      <c r="C5042"/>
      <c r="D5042"/>
      <c r="E5042"/>
      <c r="F5042"/>
      <c r="G5042" s="20"/>
      <c r="H5042"/>
      <c r="I5042"/>
      <c r="J5042" s="9"/>
      <c r="K5042" s="9"/>
      <c r="L5042" s="9"/>
    </row>
    <row r="5043" spans="2:12" ht="15" x14ac:dyDescent="0.25">
      <c r="B5043"/>
      <c r="C5043"/>
      <c r="D5043"/>
      <c r="E5043"/>
      <c r="F5043"/>
      <c r="G5043" s="20"/>
      <c r="H5043"/>
      <c r="I5043"/>
      <c r="J5043" s="9"/>
      <c r="K5043" s="9"/>
      <c r="L5043" s="9"/>
    </row>
    <row r="5044" spans="2:12" ht="15" x14ac:dyDescent="0.25">
      <c r="B5044"/>
      <c r="C5044"/>
      <c r="D5044"/>
      <c r="E5044"/>
      <c r="F5044"/>
      <c r="G5044" s="20"/>
      <c r="H5044"/>
      <c r="I5044"/>
      <c r="J5044" s="9"/>
      <c r="K5044" s="9"/>
      <c r="L5044" s="9"/>
    </row>
    <row r="5045" spans="2:12" ht="15" x14ac:dyDescent="0.25">
      <c r="B5045"/>
      <c r="C5045"/>
      <c r="D5045"/>
      <c r="E5045"/>
      <c r="F5045"/>
      <c r="G5045" s="20"/>
      <c r="H5045"/>
      <c r="I5045"/>
      <c r="J5045" s="9"/>
      <c r="K5045" s="9"/>
      <c r="L5045" s="9"/>
    </row>
    <row r="5046" spans="2:12" ht="15" x14ac:dyDescent="0.25">
      <c r="B5046"/>
      <c r="C5046"/>
      <c r="D5046"/>
      <c r="E5046"/>
      <c r="F5046"/>
      <c r="G5046" s="20"/>
      <c r="H5046"/>
      <c r="I5046"/>
      <c r="J5046" s="9"/>
      <c r="K5046" s="9"/>
      <c r="L5046" s="9"/>
    </row>
    <row r="5047" spans="2:12" ht="15" x14ac:dyDescent="0.25">
      <c r="B5047"/>
      <c r="C5047"/>
      <c r="D5047"/>
      <c r="E5047"/>
      <c r="F5047"/>
      <c r="G5047" s="20"/>
      <c r="H5047"/>
      <c r="I5047"/>
      <c r="J5047" s="9"/>
      <c r="K5047" s="9"/>
      <c r="L5047" s="9"/>
    </row>
    <row r="5048" spans="2:12" ht="15" x14ac:dyDescent="0.25">
      <c r="B5048"/>
      <c r="C5048"/>
      <c r="D5048"/>
      <c r="E5048"/>
      <c r="F5048"/>
      <c r="G5048" s="20"/>
      <c r="H5048"/>
      <c r="I5048"/>
      <c r="J5048" s="9"/>
      <c r="K5048" s="9"/>
      <c r="L5048" s="9"/>
    </row>
    <row r="5049" spans="2:12" ht="15" x14ac:dyDescent="0.25">
      <c r="B5049"/>
      <c r="C5049"/>
      <c r="D5049"/>
      <c r="E5049"/>
      <c r="F5049"/>
      <c r="G5049" s="20"/>
      <c r="H5049"/>
      <c r="I5049"/>
      <c r="J5049" s="9"/>
      <c r="K5049" s="9"/>
      <c r="L5049" s="9"/>
    </row>
    <row r="5050" spans="2:12" ht="15" x14ac:dyDescent="0.25">
      <c r="B5050"/>
      <c r="C5050"/>
      <c r="D5050"/>
      <c r="E5050"/>
      <c r="F5050"/>
      <c r="G5050" s="20"/>
      <c r="H5050"/>
      <c r="I5050"/>
      <c r="J5050" s="9"/>
      <c r="K5050" s="9"/>
      <c r="L5050" s="9"/>
    </row>
    <row r="5051" spans="2:12" ht="15" x14ac:dyDescent="0.25">
      <c r="B5051"/>
      <c r="C5051"/>
      <c r="D5051"/>
      <c r="E5051"/>
      <c r="F5051"/>
      <c r="G5051" s="20"/>
      <c r="H5051"/>
      <c r="I5051"/>
      <c r="J5051" s="9"/>
      <c r="K5051" s="9"/>
      <c r="L5051" s="9"/>
    </row>
    <row r="5052" spans="2:12" ht="15" x14ac:dyDescent="0.25">
      <c r="B5052"/>
      <c r="C5052"/>
      <c r="D5052"/>
      <c r="E5052"/>
      <c r="F5052"/>
      <c r="G5052" s="20"/>
      <c r="H5052"/>
      <c r="I5052"/>
      <c r="J5052" s="9"/>
      <c r="K5052" s="9"/>
      <c r="L5052" s="9"/>
    </row>
    <row r="5053" spans="2:12" ht="15" x14ac:dyDescent="0.25">
      <c r="B5053"/>
      <c r="C5053"/>
      <c r="D5053"/>
      <c r="E5053"/>
      <c r="F5053"/>
      <c r="G5053" s="20"/>
      <c r="H5053"/>
      <c r="I5053"/>
      <c r="J5053" s="9"/>
      <c r="K5053" s="9"/>
      <c r="L5053" s="9"/>
    </row>
    <row r="5054" spans="2:12" ht="15" x14ac:dyDescent="0.25">
      <c r="B5054"/>
      <c r="C5054"/>
      <c r="D5054"/>
      <c r="E5054"/>
      <c r="F5054"/>
      <c r="G5054" s="20"/>
      <c r="H5054"/>
      <c r="I5054"/>
      <c r="J5054" s="9"/>
      <c r="K5054" s="9"/>
      <c r="L5054" s="9"/>
    </row>
    <row r="5055" spans="2:12" ht="15" x14ac:dyDescent="0.25">
      <c r="B5055"/>
      <c r="C5055"/>
      <c r="D5055"/>
      <c r="E5055"/>
      <c r="F5055"/>
      <c r="G5055" s="20"/>
      <c r="H5055"/>
      <c r="I5055"/>
      <c r="J5055" s="9"/>
      <c r="K5055" s="9"/>
      <c r="L5055" s="9"/>
    </row>
    <row r="5056" spans="2:12" ht="15" x14ac:dyDescent="0.25">
      <c r="B5056"/>
      <c r="C5056"/>
      <c r="D5056"/>
      <c r="E5056"/>
      <c r="F5056"/>
      <c r="G5056" s="20"/>
      <c r="H5056"/>
      <c r="I5056"/>
      <c r="J5056" s="9"/>
      <c r="K5056" s="9"/>
      <c r="L5056" s="9"/>
    </row>
    <row r="5057" spans="2:12" ht="15" x14ac:dyDescent="0.25">
      <c r="B5057"/>
      <c r="C5057"/>
      <c r="D5057"/>
      <c r="E5057"/>
      <c r="F5057"/>
      <c r="G5057" s="20"/>
      <c r="H5057"/>
      <c r="I5057"/>
      <c r="J5057" s="9"/>
      <c r="K5057" s="9"/>
      <c r="L5057" s="9"/>
    </row>
    <row r="5058" spans="2:12" ht="15" x14ac:dyDescent="0.25">
      <c r="B5058"/>
      <c r="C5058"/>
      <c r="D5058"/>
      <c r="E5058"/>
      <c r="F5058"/>
      <c r="G5058" s="20"/>
      <c r="H5058"/>
      <c r="I5058"/>
      <c r="J5058" s="9"/>
      <c r="K5058" s="9"/>
      <c r="L5058" s="9"/>
    </row>
    <row r="5059" spans="2:12" ht="15" x14ac:dyDescent="0.25">
      <c r="B5059"/>
      <c r="C5059"/>
      <c r="D5059"/>
      <c r="E5059"/>
      <c r="F5059"/>
      <c r="G5059" s="20"/>
      <c r="H5059"/>
      <c r="I5059"/>
      <c r="J5059" s="9"/>
      <c r="K5059" s="9"/>
      <c r="L5059" s="9"/>
    </row>
    <row r="5060" spans="2:12" ht="15" x14ac:dyDescent="0.25">
      <c r="B5060"/>
      <c r="C5060"/>
      <c r="D5060"/>
      <c r="E5060"/>
      <c r="F5060"/>
      <c r="G5060" s="20"/>
      <c r="H5060"/>
      <c r="I5060"/>
      <c r="J5060" s="9"/>
      <c r="K5060" s="9"/>
      <c r="L5060" s="9"/>
    </row>
    <row r="5061" spans="2:12" ht="15" x14ac:dyDescent="0.25">
      <c r="B5061"/>
      <c r="C5061"/>
      <c r="D5061"/>
      <c r="E5061"/>
      <c r="F5061"/>
      <c r="G5061" s="20"/>
      <c r="H5061"/>
      <c r="I5061"/>
      <c r="J5061" s="9"/>
      <c r="K5061" s="9"/>
      <c r="L5061" s="9"/>
    </row>
    <row r="5062" spans="2:12" ht="15" x14ac:dyDescent="0.25">
      <c r="B5062"/>
      <c r="C5062"/>
      <c r="D5062"/>
      <c r="E5062"/>
      <c r="F5062"/>
      <c r="G5062" s="20"/>
      <c r="H5062"/>
      <c r="I5062"/>
      <c r="J5062" s="9"/>
      <c r="K5062" s="9"/>
      <c r="L5062" s="9"/>
    </row>
    <row r="5063" spans="2:12" ht="15" x14ac:dyDescent="0.25">
      <c r="B5063"/>
      <c r="C5063"/>
      <c r="D5063"/>
      <c r="E5063"/>
      <c r="F5063"/>
      <c r="G5063" s="20"/>
      <c r="H5063"/>
      <c r="I5063"/>
      <c r="J5063" s="9"/>
      <c r="K5063" s="9"/>
      <c r="L5063" s="9"/>
    </row>
    <row r="5064" spans="2:12" ht="15" x14ac:dyDescent="0.25">
      <c r="B5064"/>
      <c r="C5064"/>
      <c r="D5064"/>
      <c r="E5064"/>
      <c r="F5064"/>
      <c r="G5064" s="20"/>
      <c r="H5064"/>
      <c r="I5064"/>
      <c r="J5064" s="9"/>
      <c r="K5064" s="9"/>
      <c r="L5064" s="9"/>
    </row>
    <row r="5065" spans="2:12" ht="15" x14ac:dyDescent="0.25">
      <c r="B5065"/>
      <c r="C5065"/>
      <c r="D5065"/>
      <c r="E5065"/>
      <c r="F5065"/>
      <c r="G5065" s="20"/>
      <c r="H5065"/>
      <c r="I5065"/>
      <c r="J5065" s="9"/>
      <c r="K5065" s="9"/>
      <c r="L5065" s="9"/>
    </row>
    <row r="5066" spans="2:12" ht="15" x14ac:dyDescent="0.25">
      <c r="B5066"/>
      <c r="C5066"/>
      <c r="D5066"/>
      <c r="E5066"/>
      <c r="F5066"/>
      <c r="G5066" s="20"/>
      <c r="H5066"/>
      <c r="I5066"/>
      <c r="J5066" s="9"/>
      <c r="K5066" s="9"/>
      <c r="L5066" s="9"/>
    </row>
    <row r="5067" spans="2:12" ht="15" x14ac:dyDescent="0.25">
      <c r="B5067"/>
      <c r="C5067"/>
      <c r="D5067"/>
      <c r="E5067"/>
      <c r="F5067"/>
      <c r="G5067" s="20"/>
      <c r="H5067"/>
      <c r="I5067"/>
      <c r="J5067" s="9"/>
      <c r="K5067" s="9"/>
      <c r="L5067" s="9"/>
    </row>
    <row r="5068" spans="2:12" ht="15" x14ac:dyDescent="0.25">
      <c r="B5068"/>
      <c r="C5068"/>
      <c r="D5068"/>
      <c r="E5068"/>
      <c r="F5068"/>
      <c r="G5068" s="20"/>
      <c r="H5068"/>
      <c r="I5068"/>
      <c r="J5068" s="9"/>
      <c r="K5068" s="9"/>
      <c r="L5068" s="9"/>
    </row>
    <row r="5069" spans="2:12" ht="15" x14ac:dyDescent="0.25">
      <c r="B5069"/>
      <c r="C5069"/>
      <c r="D5069"/>
      <c r="E5069"/>
      <c r="F5069"/>
      <c r="G5069" s="20"/>
      <c r="H5069"/>
      <c r="I5069"/>
      <c r="J5069" s="9"/>
      <c r="K5069" s="9"/>
      <c r="L5069" s="9"/>
    </row>
    <row r="5070" spans="2:12" ht="15" x14ac:dyDescent="0.25">
      <c r="B5070"/>
      <c r="C5070"/>
      <c r="D5070"/>
      <c r="E5070"/>
      <c r="F5070"/>
      <c r="G5070" s="20"/>
      <c r="H5070"/>
      <c r="I5070"/>
      <c r="J5070" s="9"/>
      <c r="K5070" s="9"/>
      <c r="L5070" s="9"/>
    </row>
    <row r="5071" spans="2:12" ht="15" x14ac:dyDescent="0.25">
      <c r="B5071"/>
      <c r="C5071"/>
      <c r="D5071"/>
      <c r="E5071"/>
      <c r="F5071"/>
      <c r="G5071" s="20"/>
      <c r="H5071"/>
      <c r="I5071"/>
      <c r="J5071" s="9"/>
      <c r="K5071" s="9"/>
      <c r="L5071" s="9"/>
    </row>
    <row r="5072" spans="2:12" ht="15" x14ac:dyDescent="0.25">
      <c r="B5072"/>
      <c r="C5072"/>
      <c r="D5072"/>
      <c r="E5072"/>
      <c r="F5072"/>
      <c r="G5072" s="20"/>
      <c r="H5072"/>
      <c r="I5072"/>
      <c r="J5072" s="9"/>
      <c r="K5072" s="9"/>
      <c r="L5072" s="9"/>
    </row>
    <row r="5073" spans="2:12" ht="15" x14ac:dyDescent="0.25">
      <c r="B5073"/>
      <c r="C5073"/>
      <c r="D5073"/>
      <c r="E5073"/>
      <c r="F5073"/>
      <c r="G5073" s="20"/>
      <c r="H5073"/>
      <c r="I5073"/>
      <c r="J5073" s="9"/>
      <c r="K5073" s="9"/>
      <c r="L5073" s="9"/>
    </row>
    <row r="5074" spans="2:12" ht="15" x14ac:dyDescent="0.25">
      <c r="B5074"/>
      <c r="C5074"/>
      <c r="D5074"/>
      <c r="E5074"/>
      <c r="F5074"/>
      <c r="G5074" s="20"/>
      <c r="H5074"/>
      <c r="I5074"/>
      <c r="J5074" s="9"/>
      <c r="K5074" s="9"/>
      <c r="L5074" s="9"/>
    </row>
    <row r="5075" spans="2:12" ht="15" x14ac:dyDescent="0.25">
      <c r="B5075"/>
      <c r="C5075"/>
      <c r="D5075"/>
      <c r="E5075"/>
      <c r="F5075"/>
      <c r="G5075" s="20"/>
      <c r="H5075"/>
      <c r="I5075"/>
      <c r="J5075" s="9"/>
      <c r="K5075" s="9"/>
      <c r="L5075" s="9"/>
    </row>
    <row r="5076" spans="2:12" ht="15" x14ac:dyDescent="0.25">
      <c r="B5076"/>
      <c r="C5076"/>
      <c r="D5076"/>
      <c r="E5076"/>
      <c r="F5076"/>
      <c r="G5076" s="20"/>
      <c r="H5076"/>
      <c r="I5076"/>
      <c r="J5076" s="9"/>
      <c r="K5076" s="9"/>
      <c r="L5076" s="9"/>
    </row>
    <row r="5077" spans="2:12" ht="15" x14ac:dyDescent="0.25">
      <c r="B5077"/>
      <c r="C5077"/>
      <c r="D5077"/>
      <c r="E5077"/>
      <c r="F5077"/>
      <c r="G5077" s="20"/>
      <c r="H5077"/>
      <c r="I5077"/>
      <c r="J5077" s="9"/>
      <c r="K5077" s="9"/>
      <c r="L5077" s="9"/>
    </row>
    <row r="5078" spans="2:12" ht="15" x14ac:dyDescent="0.25">
      <c r="B5078"/>
      <c r="C5078"/>
      <c r="D5078"/>
      <c r="E5078"/>
      <c r="F5078"/>
      <c r="G5078" s="20"/>
      <c r="H5078"/>
      <c r="I5078"/>
      <c r="J5078" s="9"/>
      <c r="K5078" s="9"/>
      <c r="L5078" s="9"/>
    </row>
    <row r="5079" spans="2:12" ht="15" x14ac:dyDescent="0.25">
      <c r="B5079"/>
      <c r="C5079"/>
      <c r="D5079"/>
      <c r="E5079"/>
      <c r="F5079"/>
      <c r="G5079" s="20"/>
      <c r="H5079"/>
      <c r="I5079"/>
      <c r="J5079" s="9"/>
    </row>
    <row r="5080" spans="2:12" ht="15" x14ac:dyDescent="0.25">
      <c r="B5080"/>
      <c r="C5080"/>
      <c r="D5080"/>
      <c r="E5080"/>
      <c r="F5080"/>
      <c r="G5080" s="20"/>
      <c r="H5080"/>
      <c r="I5080"/>
      <c r="J5080" s="9"/>
    </row>
    <row r="5081" spans="2:12" ht="15" x14ac:dyDescent="0.25">
      <c r="B5081"/>
      <c r="C5081"/>
      <c r="D5081"/>
      <c r="E5081"/>
      <c r="F5081"/>
      <c r="G5081" s="20"/>
      <c r="H5081"/>
      <c r="I5081"/>
      <c r="J5081" s="9"/>
    </row>
    <row r="5082" spans="2:12" ht="15" x14ac:dyDescent="0.25">
      <c r="B5082"/>
      <c r="C5082"/>
      <c r="D5082"/>
      <c r="E5082"/>
      <c r="F5082"/>
      <c r="G5082" s="20"/>
      <c r="H5082"/>
      <c r="I5082"/>
      <c r="J5082" s="9"/>
    </row>
    <row r="5083" spans="2:12" ht="15" x14ac:dyDescent="0.25">
      <c r="B5083"/>
      <c r="C5083"/>
      <c r="D5083"/>
      <c r="E5083"/>
      <c r="F5083"/>
      <c r="G5083" s="20"/>
      <c r="H5083"/>
      <c r="I5083"/>
    </row>
    <row r="5084" spans="2:12" ht="15" x14ac:dyDescent="0.25">
      <c r="B5084"/>
      <c r="C5084"/>
      <c r="D5084"/>
      <c r="E5084"/>
      <c r="F5084"/>
      <c r="G5084" s="20"/>
      <c r="H5084"/>
      <c r="I5084"/>
    </row>
    <row r="5085" spans="2:12" ht="15" x14ac:dyDescent="0.25">
      <c r="B5085"/>
      <c r="C5085"/>
      <c r="D5085"/>
      <c r="E5085"/>
      <c r="F5085"/>
      <c r="G5085" s="20"/>
      <c r="H5085"/>
      <c r="I5085"/>
    </row>
    <row r="5086" spans="2:12" ht="15" x14ac:dyDescent="0.25">
      <c r="B5086"/>
      <c r="C5086"/>
      <c r="D5086"/>
      <c r="E5086"/>
      <c r="F5086"/>
      <c r="G5086" s="20"/>
      <c r="H5086"/>
      <c r="I5086"/>
    </row>
    <row r="5087" spans="2:12" ht="15" x14ac:dyDescent="0.25">
      <c r="B5087"/>
      <c r="C5087"/>
      <c r="D5087"/>
      <c r="E5087"/>
      <c r="F5087"/>
      <c r="G5087" s="20"/>
      <c r="H5087"/>
      <c r="I5087"/>
    </row>
    <row r="5088" spans="2:12" ht="15" x14ac:dyDescent="0.25">
      <c r="B5088"/>
      <c r="C5088"/>
      <c r="D5088"/>
      <c r="E5088"/>
      <c r="F5088"/>
      <c r="G5088" s="20"/>
      <c r="H5088"/>
      <c r="I5088"/>
    </row>
    <row r="5089" spans="2:9" ht="15" x14ac:dyDescent="0.25">
      <c r="B5089"/>
      <c r="C5089"/>
      <c r="D5089"/>
      <c r="E5089"/>
      <c r="F5089"/>
      <c r="G5089" s="20"/>
      <c r="H5089"/>
      <c r="I5089"/>
    </row>
    <row r="5090" spans="2:9" ht="15" x14ac:dyDescent="0.25">
      <c r="B5090"/>
      <c r="C5090"/>
      <c r="D5090"/>
      <c r="E5090"/>
      <c r="F5090"/>
      <c r="G5090" s="20"/>
      <c r="H5090"/>
      <c r="I5090"/>
    </row>
    <row r="5091" spans="2:9" ht="15" x14ac:dyDescent="0.25">
      <c r="B5091"/>
      <c r="C5091"/>
      <c r="D5091"/>
      <c r="E5091"/>
      <c r="F5091"/>
      <c r="G5091" s="20"/>
      <c r="H5091"/>
      <c r="I5091"/>
    </row>
    <row r="5092" spans="2:9" ht="15" x14ac:dyDescent="0.25">
      <c r="B5092"/>
      <c r="C5092"/>
      <c r="D5092"/>
      <c r="E5092"/>
      <c r="F5092"/>
      <c r="G5092" s="20"/>
      <c r="H5092"/>
      <c r="I5092"/>
    </row>
    <row r="5093" spans="2:9" ht="15" x14ac:dyDescent="0.25">
      <c r="B5093"/>
      <c r="C5093"/>
      <c r="D5093"/>
      <c r="E5093"/>
      <c r="F5093"/>
      <c r="G5093" s="20"/>
      <c r="H5093"/>
      <c r="I5093"/>
    </row>
    <row r="5094" spans="2:9" ht="15" x14ac:dyDescent="0.25">
      <c r="B5094"/>
      <c r="C5094"/>
      <c r="D5094"/>
      <c r="E5094"/>
      <c r="F5094"/>
      <c r="G5094" s="20"/>
      <c r="H5094"/>
      <c r="I5094"/>
    </row>
    <row r="5095" spans="2:9" ht="15" x14ac:dyDescent="0.25">
      <c r="B5095"/>
      <c r="C5095"/>
      <c r="D5095"/>
      <c r="E5095"/>
      <c r="F5095"/>
      <c r="G5095" s="20"/>
      <c r="H5095"/>
      <c r="I5095"/>
    </row>
    <row r="5096" spans="2:9" ht="15" x14ac:dyDescent="0.25">
      <c r="B5096"/>
      <c r="C5096"/>
      <c r="D5096"/>
      <c r="E5096"/>
      <c r="F5096"/>
      <c r="G5096" s="20"/>
      <c r="H5096"/>
      <c r="I5096"/>
    </row>
    <row r="5097" spans="2:9" ht="15" x14ac:dyDescent="0.25">
      <c r="B5097"/>
      <c r="C5097"/>
      <c r="D5097"/>
      <c r="E5097"/>
      <c r="F5097"/>
      <c r="G5097" s="20"/>
      <c r="H5097"/>
      <c r="I5097"/>
    </row>
    <row r="5098" spans="2:9" ht="15" x14ac:dyDescent="0.25">
      <c r="B5098"/>
      <c r="C5098"/>
      <c r="D5098"/>
      <c r="E5098"/>
      <c r="F5098"/>
      <c r="G5098" s="20"/>
      <c r="H5098"/>
      <c r="I5098"/>
    </row>
    <row r="5099" spans="2:9" ht="15" x14ac:dyDescent="0.25">
      <c r="B5099"/>
      <c r="C5099"/>
      <c r="D5099"/>
      <c r="E5099"/>
      <c r="F5099"/>
      <c r="G5099" s="20"/>
      <c r="H5099"/>
      <c r="I5099"/>
    </row>
    <row r="5100" spans="2:9" ht="15" x14ac:dyDescent="0.25">
      <c r="B5100"/>
      <c r="C5100"/>
      <c r="D5100"/>
      <c r="E5100"/>
      <c r="F5100"/>
      <c r="G5100" s="20"/>
      <c r="H5100"/>
      <c r="I5100"/>
    </row>
    <row r="5101" spans="2:9" ht="15" x14ac:dyDescent="0.25">
      <c r="B5101"/>
      <c r="C5101"/>
      <c r="D5101"/>
      <c r="E5101"/>
      <c r="F5101"/>
      <c r="G5101" s="20"/>
      <c r="H5101"/>
      <c r="I5101"/>
    </row>
    <row r="5102" spans="2:9" ht="15" x14ac:dyDescent="0.25">
      <c r="B5102"/>
      <c r="C5102"/>
      <c r="D5102"/>
      <c r="E5102"/>
      <c r="F5102"/>
      <c r="G5102" s="20"/>
      <c r="H5102"/>
      <c r="I5102"/>
    </row>
    <row r="5103" spans="2:9" ht="15" x14ac:dyDescent="0.25">
      <c r="B5103"/>
      <c r="C5103"/>
      <c r="D5103"/>
      <c r="E5103"/>
      <c r="F5103"/>
      <c r="G5103" s="20"/>
      <c r="H5103"/>
      <c r="I5103"/>
    </row>
    <row r="5104" spans="2:9" ht="15" x14ac:dyDescent="0.25">
      <c r="B5104"/>
      <c r="C5104"/>
      <c r="D5104"/>
      <c r="E5104"/>
      <c r="F5104"/>
      <c r="G5104" s="20"/>
      <c r="H5104"/>
      <c r="I5104"/>
    </row>
    <row r="5105" spans="2:9" ht="15" x14ac:dyDescent="0.25">
      <c r="B5105"/>
      <c r="C5105"/>
      <c r="D5105"/>
      <c r="E5105"/>
      <c r="F5105"/>
      <c r="G5105" s="20"/>
      <c r="H5105"/>
      <c r="I5105"/>
    </row>
    <row r="5106" spans="2:9" ht="15" x14ac:dyDescent="0.25">
      <c r="B5106"/>
      <c r="C5106"/>
      <c r="D5106"/>
      <c r="E5106"/>
      <c r="F5106"/>
      <c r="G5106" s="20"/>
      <c r="H5106"/>
      <c r="I5106"/>
    </row>
    <row r="5107" spans="2:9" ht="15" x14ac:dyDescent="0.25">
      <c r="B5107"/>
      <c r="C5107"/>
      <c r="D5107"/>
      <c r="E5107"/>
      <c r="F5107"/>
      <c r="G5107" s="20"/>
      <c r="H5107"/>
      <c r="I5107"/>
    </row>
    <row r="5108" spans="2:9" ht="15" x14ac:dyDescent="0.25">
      <c r="B5108"/>
      <c r="C5108"/>
      <c r="D5108"/>
      <c r="E5108"/>
      <c r="F5108"/>
      <c r="G5108" s="20"/>
      <c r="H5108"/>
      <c r="I5108"/>
    </row>
    <row r="5109" spans="2:9" ht="15" x14ac:dyDescent="0.25">
      <c r="B5109"/>
      <c r="C5109"/>
      <c r="D5109"/>
      <c r="E5109"/>
      <c r="F5109"/>
      <c r="G5109" s="20"/>
      <c r="H5109"/>
      <c r="I5109"/>
    </row>
    <row r="5110" spans="2:9" ht="15" x14ac:dyDescent="0.25">
      <c r="B5110"/>
      <c r="C5110"/>
      <c r="D5110"/>
      <c r="E5110"/>
      <c r="F5110"/>
      <c r="G5110" s="20"/>
      <c r="H5110"/>
      <c r="I5110"/>
    </row>
    <row r="5111" spans="2:9" ht="15" x14ac:dyDescent="0.25">
      <c r="B5111"/>
      <c r="C5111"/>
      <c r="D5111"/>
      <c r="E5111"/>
      <c r="F5111"/>
      <c r="G5111" s="20"/>
      <c r="H5111"/>
      <c r="I5111"/>
    </row>
    <row r="5112" spans="2:9" ht="15" x14ac:dyDescent="0.25">
      <c r="B5112"/>
      <c r="C5112"/>
      <c r="D5112"/>
      <c r="E5112"/>
      <c r="F5112"/>
      <c r="G5112" s="20"/>
      <c r="H5112"/>
      <c r="I5112"/>
    </row>
    <row r="5113" spans="2:9" ht="15" x14ac:dyDescent="0.25">
      <c r="B5113"/>
      <c r="C5113"/>
      <c r="D5113"/>
      <c r="E5113"/>
      <c r="F5113"/>
      <c r="G5113" s="20"/>
      <c r="H5113"/>
      <c r="I5113"/>
    </row>
    <row r="5114" spans="2:9" ht="15" x14ac:dyDescent="0.25">
      <c r="B5114"/>
      <c r="C5114"/>
      <c r="D5114"/>
      <c r="E5114"/>
      <c r="F5114"/>
      <c r="G5114" s="20"/>
      <c r="H5114"/>
      <c r="I5114"/>
    </row>
    <row r="5115" spans="2:9" ht="15" x14ac:dyDescent="0.25">
      <c r="B5115"/>
      <c r="C5115"/>
      <c r="D5115"/>
      <c r="E5115"/>
      <c r="F5115"/>
      <c r="G5115" s="20"/>
      <c r="H5115"/>
      <c r="I5115"/>
    </row>
    <row r="5116" spans="2:9" ht="15" x14ac:dyDescent="0.25">
      <c r="B5116"/>
      <c r="C5116"/>
      <c r="D5116"/>
      <c r="E5116"/>
      <c r="F5116"/>
      <c r="G5116" s="20"/>
      <c r="H5116"/>
      <c r="I5116"/>
    </row>
    <row r="5117" spans="2:9" ht="15" x14ac:dyDescent="0.25">
      <c r="B5117"/>
      <c r="C5117"/>
      <c r="D5117"/>
      <c r="E5117"/>
      <c r="F5117"/>
      <c r="G5117" s="20"/>
      <c r="H5117"/>
      <c r="I5117"/>
    </row>
    <row r="5118" spans="2:9" ht="15" x14ac:dyDescent="0.25">
      <c r="B5118"/>
      <c r="C5118"/>
      <c r="D5118"/>
      <c r="E5118"/>
      <c r="F5118"/>
      <c r="G5118" s="20"/>
      <c r="H5118"/>
      <c r="I5118"/>
    </row>
    <row r="5119" spans="2:9" ht="15" x14ac:dyDescent="0.25">
      <c r="B5119"/>
      <c r="C5119"/>
      <c r="D5119"/>
      <c r="E5119"/>
      <c r="F5119"/>
      <c r="G5119" s="20"/>
      <c r="H5119"/>
      <c r="I5119"/>
    </row>
    <row r="5120" spans="2:9" ht="15" x14ac:dyDescent="0.25">
      <c r="B5120"/>
      <c r="C5120"/>
      <c r="D5120"/>
      <c r="E5120"/>
      <c r="F5120"/>
      <c r="G5120" s="20"/>
      <c r="H5120"/>
      <c r="I5120"/>
    </row>
    <row r="5121" spans="2:9" ht="15" x14ac:dyDescent="0.25">
      <c r="B5121"/>
      <c r="C5121"/>
      <c r="D5121"/>
      <c r="E5121"/>
      <c r="F5121"/>
      <c r="G5121" s="20"/>
      <c r="H5121"/>
      <c r="I5121"/>
    </row>
    <row r="5122" spans="2:9" ht="15" x14ac:dyDescent="0.25">
      <c r="B5122"/>
      <c r="C5122"/>
      <c r="D5122"/>
      <c r="E5122"/>
      <c r="F5122"/>
      <c r="G5122" s="20"/>
      <c r="H5122"/>
      <c r="I5122"/>
    </row>
    <row r="5123" spans="2:9" ht="15" x14ac:dyDescent="0.25">
      <c r="B5123"/>
      <c r="C5123"/>
      <c r="D5123"/>
      <c r="E5123"/>
      <c r="F5123"/>
      <c r="G5123" s="20"/>
      <c r="H5123"/>
      <c r="I5123"/>
    </row>
    <row r="5124" spans="2:9" ht="15" x14ac:dyDescent="0.25">
      <c r="B5124"/>
      <c r="C5124"/>
      <c r="D5124"/>
      <c r="E5124"/>
      <c r="F5124"/>
      <c r="G5124" s="20"/>
      <c r="H5124"/>
      <c r="I5124"/>
    </row>
    <row r="5125" spans="2:9" ht="15" x14ac:dyDescent="0.25">
      <c r="B5125"/>
      <c r="C5125"/>
      <c r="D5125"/>
      <c r="E5125"/>
      <c r="F5125"/>
      <c r="G5125" s="20"/>
      <c r="H5125"/>
      <c r="I5125"/>
    </row>
    <row r="5126" spans="2:9" ht="15" x14ac:dyDescent="0.25">
      <c r="B5126"/>
      <c r="C5126"/>
      <c r="D5126"/>
      <c r="E5126"/>
      <c r="F5126"/>
      <c r="G5126" s="20"/>
      <c r="H5126"/>
      <c r="I5126"/>
    </row>
    <row r="5127" spans="2:9" ht="15" x14ac:dyDescent="0.25">
      <c r="B5127"/>
      <c r="C5127"/>
      <c r="D5127"/>
      <c r="E5127"/>
      <c r="F5127"/>
      <c r="G5127" s="20"/>
      <c r="H5127"/>
      <c r="I5127"/>
    </row>
    <row r="5128" spans="2:9" ht="15" x14ac:dyDescent="0.25">
      <c r="B5128"/>
      <c r="C5128"/>
      <c r="D5128"/>
      <c r="E5128"/>
      <c r="F5128"/>
      <c r="G5128" s="20"/>
      <c r="H5128"/>
      <c r="I5128"/>
    </row>
    <row r="5129" spans="2:9" ht="15" x14ac:dyDescent="0.25">
      <c r="B5129"/>
      <c r="C5129"/>
      <c r="D5129"/>
      <c r="E5129"/>
      <c r="F5129"/>
      <c r="G5129" s="20"/>
      <c r="H5129"/>
      <c r="I5129"/>
    </row>
    <row r="5130" spans="2:9" ht="15" x14ac:dyDescent="0.25">
      <c r="B5130"/>
      <c r="C5130"/>
      <c r="D5130"/>
      <c r="E5130"/>
      <c r="F5130"/>
      <c r="G5130" s="20"/>
      <c r="H5130"/>
      <c r="I5130"/>
    </row>
    <row r="5131" spans="2:9" ht="15" x14ac:dyDescent="0.25">
      <c r="B5131"/>
      <c r="C5131"/>
      <c r="D5131"/>
      <c r="E5131"/>
      <c r="F5131"/>
      <c r="G5131" s="20"/>
      <c r="H5131"/>
      <c r="I5131"/>
    </row>
    <row r="5132" spans="2:9" ht="15" x14ac:dyDescent="0.25">
      <c r="B5132"/>
      <c r="C5132"/>
      <c r="D5132"/>
      <c r="E5132"/>
      <c r="F5132"/>
      <c r="G5132" s="20"/>
      <c r="H5132"/>
      <c r="I5132"/>
    </row>
    <row r="5133" spans="2:9" ht="15" x14ac:dyDescent="0.25">
      <c r="B5133"/>
      <c r="C5133"/>
      <c r="D5133"/>
      <c r="E5133"/>
      <c r="F5133"/>
      <c r="G5133" s="20"/>
      <c r="H5133"/>
      <c r="I5133"/>
    </row>
    <row r="5134" spans="2:9" ht="15" x14ac:dyDescent="0.25">
      <c r="B5134"/>
      <c r="C5134"/>
      <c r="D5134"/>
      <c r="E5134"/>
      <c r="F5134"/>
      <c r="G5134" s="20"/>
      <c r="H5134"/>
      <c r="I5134"/>
    </row>
    <row r="5135" spans="2:9" ht="15" x14ac:dyDescent="0.25">
      <c r="B5135"/>
      <c r="C5135"/>
      <c r="D5135"/>
      <c r="E5135"/>
      <c r="F5135"/>
      <c r="G5135" s="20"/>
      <c r="H5135"/>
      <c r="I5135"/>
    </row>
    <row r="5136" spans="2:9" ht="15" x14ac:dyDescent="0.25">
      <c r="B5136"/>
      <c r="C5136"/>
      <c r="D5136"/>
      <c r="E5136"/>
      <c r="F5136"/>
      <c r="G5136" s="20"/>
      <c r="H5136"/>
      <c r="I5136"/>
    </row>
    <row r="5137" spans="2:9" ht="15" x14ac:dyDescent="0.25">
      <c r="B5137"/>
      <c r="C5137"/>
      <c r="D5137"/>
      <c r="E5137"/>
      <c r="F5137"/>
      <c r="G5137" s="20"/>
      <c r="H5137"/>
      <c r="I5137"/>
    </row>
    <row r="5138" spans="2:9" ht="15" x14ac:dyDescent="0.25">
      <c r="B5138"/>
      <c r="C5138"/>
      <c r="D5138"/>
      <c r="E5138"/>
      <c r="F5138"/>
      <c r="G5138" s="20"/>
      <c r="H5138"/>
      <c r="I5138"/>
    </row>
    <row r="5139" spans="2:9" ht="15" x14ac:dyDescent="0.25">
      <c r="B5139"/>
      <c r="C5139"/>
      <c r="D5139"/>
      <c r="E5139"/>
      <c r="F5139"/>
      <c r="G5139" s="20"/>
      <c r="H5139"/>
      <c r="I5139"/>
    </row>
    <row r="5140" spans="2:9" ht="15" x14ac:dyDescent="0.25">
      <c r="B5140"/>
      <c r="C5140"/>
      <c r="D5140"/>
      <c r="E5140"/>
      <c r="F5140"/>
      <c r="G5140" s="20"/>
      <c r="H5140"/>
      <c r="I5140"/>
    </row>
    <row r="5141" spans="2:9" ht="15" x14ac:dyDescent="0.25">
      <c r="B5141"/>
      <c r="C5141"/>
      <c r="D5141"/>
      <c r="E5141"/>
      <c r="F5141"/>
      <c r="G5141" s="20"/>
      <c r="H5141"/>
      <c r="I5141"/>
    </row>
    <row r="5142" spans="2:9" ht="15" x14ac:dyDescent="0.25">
      <c r="B5142"/>
      <c r="C5142"/>
      <c r="D5142"/>
      <c r="E5142"/>
      <c r="F5142"/>
      <c r="G5142" s="20"/>
      <c r="H5142"/>
      <c r="I5142"/>
    </row>
    <row r="5143" spans="2:9" ht="15" x14ac:dyDescent="0.25">
      <c r="B5143"/>
      <c r="C5143"/>
      <c r="D5143"/>
      <c r="E5143"/>
      <c r="F5143"/>
      <c r="G5143" s="20"/>
      <c r="H5143"/>
      <c r="I5143"/>
    </row>
    <row r="5144" spans="2:9" ht="15" x14ac:dyDescent="0.25">
      <c r="B5144"/>
      <c r="C5144"/>
      <c r="D5144"/>
      <c r="E5144"/>
      <c r="F5144"/>
      <c r="G5144" s="20"/>
      <c r="H5144"/>
      <c r="I5144"/>
    </row>
    <row r="5145" spans="2:9" ht="15" x14ac:dyDescent="0.25">
      <c r="B5145"/>
      <c r="C5145"/>
      <c r="D5145"/>
      <c r="E5145"/>
      <c r="F5145"/>
      <c r="G5145" s="20"/>
      <c r="H5145"/>
      <c r="I5145"/>
    </row>
    <row r="5146" spans="2:9" ht="15" x14ac:dyDescent="0.25">
      <c r="B5146"/>
      <c r="C5146"/>
      <c r="D5146"/>
      <c r="E5146"/>
      <c r="F5146"/>
      <c r="G5146" s="20"/>
      <c r="H5146"/>
      <c r="I5146"/>
    </row>
    <row r="5147" spans="2:9" ht="15" x14ac:dyDescent="0.25">
      <c r="B5147"/>
      <c r="C5147"/>
      <c r="D5147"/>
      <c r="E5147"/>
      <c r="F5147"/>
      <c r="G5147" s="20"/>
      <c r="H5147"/>
      <c r="I5147"/>
    </row>
    <row r="5148" spans="2:9" ht="15" x14ac:dyDescent="0.25">
      <c r="B5148"/>
      <c r="C5148"/>
      <c r="D5148"/>
      <c r="E5148"/>
      <c r="F5148"/>
      <c r="G5148" s="20"/>
      <c r="H5148"/>
      <c r="I5148"/>
    </row>
    <row r="5149" spans="2:9" ht="15" x14ac:dyDescent="0.25">
      <c r="B5149"/>
      <c r="C5149"/>
      <c r="D5149"/>
      <c r="E5149"/>
      <c r="F5149"/>
      <c r="G5149" s="20"/>
      <c r="H5149"/>
      <c r="I5149"/>
    </row>
    <row r="5150" spans="2:9" ht="15" x14ac:dyDescent="0.25">
      <c r="B5150"/>
      <c r="C5150"/>
      <c r="D5150"/>
      <c r="E5150"/>
      <c r="F5150"/>
      <c r="G5150" s="20"/>
      <c r="H5150"/>
      <c r="I5150"/>
    </row>
    <row r="5151" spans="2:9" ht="15" x14ac:dyDescent="0.25">
      <c r="B5151"/>
      <c r="C5151"/>
      <c r="D5151"/>
      <c r="E5151"/>
      <c r="F5151"/>
      <c r="G5151" s="20"/>
      <c r="H5151"/>
      <c r="I5151"/>
    </row>
    <row r="5152" spans="2:9" ht="15" x14ac:dyDescent="0.25">
      <c r="B5152"/>
      <c r="C5152"/>
      <c r="D5152"/>
      <c r="E5152"/>
      <c r="F5152"/>
      <c r="G5152" s="20"/>
      <c r="H5152"/>
      <c r="I5152"/>
    </row>
    <row r="5153" spans="2:9" ht="15" x14ac:dyDescent="0.25">
      <c r="B5153"/>
      <c r="C5153"/>
      <c r="D5153"/>
      <c r="E5153"/>
      <c r="F5153"/>
      <c r="G5153" s="20"/>
      <c r="H5153"/>
      <c r="I5153"/>
    </row>
    <row r="5154" spans="2:9" ht="15" x14ac:dyDescent="0.25">
      <c r="B5154"/>
      <c r="C5154"/>
      <c r="D5154"/>
      <c r="E5154"/>
      <c r="F5154"/>
      <c r="G5154" s="20"/>
      <c r="H5154"/>
      <c r="I5154"/>
    </row>
    <row r="5155" spans="2:9" ht="15" x14ac:dyDescent="0.25">
      <c r="B5155"/>
      <c r="C5155"/>
      <c r="D5155"/>
      <c r="E5155"/>
      <c r="F5155"/>
      <c r="G5155" s="20"/>
      <c r="H5155"/>
      <c r="I5155"/>
    </row>
    <row r="5156" spans="2:9" ht="15" x14ac:dyDescent="0.25">
      <c r="B5156"/>
      <c r="C5156"/>
      <c r="D5156"/>
      <c r="E5156"/>
      <c r="F5156"/>
      <c r="G5156" s="20"/>
      <c r="H5156"/>
      <c r="I5156"/>
    </row>
    <row r="5157" spans="2:9" ht="15" x14ac:dyDescent="0.25">
      <c r="B5157"/>
      <c r="C5157"/>
      <c r="D5157"/>
      <c r="E5157"/>
      <c r="F5157"/>
      <c r="G5157" s="20"/>
      <c r="H5157"/>
      <c r="I5157"/>
    </row>
    <row r="5158" spans="2:9" ht="15" x14ac:dyDescent="0.25">
      <c r="B5158"/>
      <c r="C5158"/>
      <c r="D5158"/>
      <c r="E5158"/>
      <c r="F5158"/>
      <c r="G5158" s="20"/>
      <c r="H5158"/>
      <c r="I5158"/>
    </row>
    <row r="5159" spans="2:9" ht="15" x14ac:dyDescent="0.25">
      <c r="B5159"/>
      <c r="C5159"/>
      <c r="D5159"/>
      <c r="E5159"/>
      <c r="F5159"/>
      <c r="G5159" s="20"/>
      <c r="H5159"/>
      <c r="I5159"/>
    </row>
    <row r="5160" spans="2:9" ht="15" x14ac:dyDescent="0.25">
      <c r="B5160"/>
      <c r="C5160"/>
      <c r="D5160"/>
      <c r="E5160"/>
      <c r="F5160"/>
      <c r="G5160" s="20"/>
      <c r="H5160"/>
      <c r="I5160"/>
    </row>
    <row r="5161" spans="2:9" ht="15" x14ac:dyDescent="0.25">
      <c r="B5161"/>
      <c r="C5161"/>
      <c r="D5161"/>
      <c r="E5161"/>
      <c r="F5161"/>
      <c r="G5161" s="20"/>
      <c r="H5161"/>
      <c r="I5161"/>
    </row>
    <row r="5162" spans="2:9" ht="15" x14ac:dyDescent="0.25">
      <c r="B5162"/>
      <c r="C5162"/>
      <c r="D5162"/>
      <c r="E5162"/>
      <c r="F5162"/>
      <c r="G5162" s="20"/>
      <c r="H5162"/>
      <c r="I5162"/>
    </row>
    <row r="5163" spans="2:9" ht="15" x14ac:dyDescent="0.25">
      <c r="B5163"/>
      <c r="C5163"/>
      <c r="D5163"/>
      <c r="E5163"/>
      <c r="F5163"/>
      <c r="G5163" s="20"/>
      <c r="H5163"/>
      <c r="I5163"/>
    </row>
    <row r="5164" spans="2:9" ht="15" x14ac:dyDescent="0.25">
      <c r="B5164"/>
      <c r="C5164"/>
      <c r="D5164"/>
      <c r="E5164"/>
      <c r="F5164"/>
      <c r="G5164" s="20"/>
      <c r="H5164"/>
      <c r="I5164"/>
    </row>
    <row r="5165" spans="2:9" ht="15" x14ac:dyDescent="0.25">
      <c r="B5165"/>
      <c r="C5165"/>
      <c r="D5165"/>
      <c r="E5165"/>
      <c r="F5165"/>
      <c r="G5165" s="20"/>
      <c r="H5165"/>
      <c r="I5165"/>
    </row>
    <row r="5166" spans="2:9" ht="15" x14ac:dyDescent="0.25">
      <c r="B5166"/>
      <c r="C5166"/>
      <c r="D5166"/>
      <c r="E5166"/>
      <c r="F5166"/>
      <c r="G5166" s="20"/>
      <c r="H5166"/>
      <c r="I5166"/>
    </row>
    <row r="5167" spans="2:9" ht="15" x14ac:dyDescent="0.25">
      <c r="B5167"/>
      <c r="C5167"/>
      <c r="D5167"/>
      <c r="E5167"/>
      <c r="F5167"/>
      <c r="G5167" s="20"/>
      <c r="H5167"/>
      <c r="I5167"/>
    </row>
    <row r="5168" spans="2:9" ht="15" x14ac:dyDescent="0.25">
      <c r="B5168"/>
      <c r="C5168"/>
      <c r="D5168"/>
      <c r="E5168"/>
      <c r="F5168"/>
      <c r="G5168" s="20"/>
      <c r="H5168"/>
      <c r="I5168"/>
    </row>
    <row r="5169" spans="2:9" ht="15" x14ac:dyDescent="0.25">
      <c r="B5169"/>
      <c r="C5169"/>
      <c r="D5169"/>
      <c r="E5169"/>
      <c r="F5169"/>
      <c r="G5169" s="20"/>
      <c r="H5169"/>
      <c r="I5169"/>
    </row>
    <row r="5170" spans="2:9" ht="15" x14ac:dyDescent="0.25">
      <c r="B5170"/>
      <c r="C5170"/>
      <c r="D5170"/>
      <c r="E5170"/>
      <c r="F5170"/>
      <c r="G5170" s="20"/>
      <c r="H5170"/>
      <c r="I5170"/>
    </row>
    <row r="5171" spans="2:9" ht="15" x14ac:dyDescent="0.25">
      <c r="B5171"/>
      <c r="C5171"/>
      <c r="D5171"/>
      <c r="E5171"/>
      <c r="F5171"/>
      <c r="G5171" s="20"/>
      <c r="H5171"/>
      <c r="I5171"/>
    </row>
    <row r="5172" spans="2:9" ht="15" x14ac:dyDescent="0.25">
      <c r="B5172"/>
      <c r="C5172"/>
      <c r="D5172"/>
      <c r="E5172"/>
      <c r="F5172"/>
      <c r="G5172" s="20"/>
      <c r="H5172"/>
      <c r="I5172"/>
    </row>
    <row r="5173" spans="2:9" ht="15" x14ac:dyDescent="0.25">
      <c r="B5173"/>
      <c r="C5173"/>
      <c r="D5173"/>
      <c r="E5173"/>
      <c r="F5173"/>
      <c r="G5173" s="20"/>
      <c r="H5173"/>
      <c r="I5173"/>
    </row>
    <row r="5174" spans="2:9" ht="15" x14ac:dyDescent="0.25">
      <c r="B5174"/>
      <c r="C5174"/>
      <c r="D5174"/>
      <c r="E5174"/>
      <c r="F5174"/>
      <c r="G5174" s="20"/>
      <c r="H5174"/>
      <c r="I5174"/>
    </row>
    <row r="5175" spans="2:9" ht="15" x14ac:dyDescent="0.25">
      <c r="B5175"/>
      <c r="C5175"/>
      <c r="D5175"/>
      <c r="E5175"/>
      <c r="F5175"/>
      <c r="G5175" s="20"/>
      <c r="H5175"/>
      <c r="I5175"/>
    </row>
    <row r="5176" spans="2:9" ht="15" x14ac:dyDescent="0.25">
      <c r="B5176"/>
      <c r="C5176"/>
      <c r="D5176"/>
      <c r="E5176"/>
      <c r="F5176"/>
      <c r="G5176" s="20"/>
      <c r="H5176"/>
      <c r="I5176"/>
    </row>
    <row r="5177" spans="2:9" ht="15" x14ac:dyDescent="0.25">
      <c r="B5177"/>
      <c r="C5177"/>
      <c r="D5177"/>
      <c r="E5177"/>
      <c r="F5177"/>
      <c r="G5177" s="20"/>
      <c r="H5177"/>
      <c r="I5177"/>
    </row>
    <row r="5178" spans="2:9" ht="15" x14ac:dyDescent="0.25">
      <c r="B5178"/>
      <c r="C5178"/>
      <c r="D5178"/>
      <c r="E5178"/>
      <c r="F5178"/>
      <c r="G5178" s="20"/>
      <c r="H5178"/>
      <c r="I5178"/>
    </row>
    <row r="5179" spans="2:9" ht="15" x14ac:dyDescent="0.25">
      <c r="B5179"/>
      <c r="C5179"/>
      <c r="D5179"/>
      <c r="E5179"/>
      <c r="F5179"/>
      <c r="G5179" s="20"/>
      <c r="H5179"/>
      <c r="I5179"/>
    </row>
    <row r="5180" spans="2:9" ht="15" x14ac:dyDescent="0.25">
      <c r="B5180"/>
      <c r="C5180"/>
      <c r="D5180"/>
      <c r="E5180"/>
      <c r="F5180"/>
      <c r="G5180" s="20"/>
      <c r="H5180"/>
      <c r="I5180"/>
    </row>
    <row r="5181" spans="2:9" ht="15" x14ac:dyDescent="0.25">
      <c r="B5181"/>
      <c r="C5181"/>
      <c r="D5181"/>
      <c r="E5181"/>
      <c r="F5181"/>
      <c r="G5181" s="20"/>
      <c r="H5181"/>
      <c r="I5181"/>
    </row>
    <row r="5182" spans="2:9" ht="15" x14ac:dyDescent="0.25">
      <c r="B5182"/>
      <c r="C5182"/>
      <c r="D5182"/>
      <c r="E5182"/>
      <c r="F5182"/>
      <c r="G5182" s="20"/>
      <c r="H5182"/>
      <c r="I5182"/>
    </row>
    <row r="5183" spans="2:9" ht="15" x14ac:dyDescent="0.25">
      <c r="B5183"/>
      <c r="C5183"/>
      <c r="D5183"/>
      <c r="E5183"/>
      <c r="F5183"/>
      <c r="G5183" s="20"/>
      <c r="H5183"/>
      <c r="I5183"/>
    </row>
    <row r="5184" spans="2:9" ht="15" x14ac:dyDescent="0.25">
      <c r="B5184"/>
      <c r="C5184"/>
      <c r="D5184"/>
      <c r="E5184"/>
      <c r="F5184"/>
      <c r="G5184" s="20"/>
      <c r="H5184"/>
      <c r="I5184"/>
    </row>
    <row r="5185" spans="2:9" ht="15" x14ac:dyDescent="0.25">
      <c r="B5185"/>
      <c r="C5185"/>
      <c r="D5185"/>
      <c r="E5185"/>
      <c r="F5185"/>
      <c r="G5185" s="20"/>
      <c r="H5185"/>
      <c r="I5185"/>
    </row>
    <row r="5186" spans="2:9" ht="15" x14ac:dyDescent="0.25">
      <c r="B5186"/>
      <c r="C5186"/>
      <c r="D5186"/>
      <c r="E5186"/>
      <c r="F5186"/>
      <c r="G5186" s="20"/>
      <c r="H5186"/>
      <c r="I5186"/>
    </row>
    <row r="5187" spans="2:9" ht="15" x14ac:dyDescent="0.25">
      <c r="B5187"/>
      <c r="C5187"/>
      <c r="D5187"/>
      <c r="E5187"/>
      <c r="F5187"/>
      <c r="G5187" s="20"/>
      <c r="H5187"/>
      <c r="I5187"/>
    </row>
    <row r="5188" spans="2:9" ht="15" x14ac:dyDescent="0.25">
      <c r="B5188"/>
      <c r="C5188"/>
      <c r="D5188"/>
      <c r="E5188"/>
      <c r="F5188"/>
      <c r="G5188" s="20"/>
      <c r="H5188"/>
      <c r="I5188"/>
    </row>
    <row r="5189" spans="2:9" ht="15" x14ac:dyDescent="0.25">
      <c r="B5189"/>
      <c r="C5189"/>
      <c r="D5189"/>
      <c r="E5189"/>
      <c r="F5189"/>
      <c r="G5189" s="20"/>
      <c r="H5189"/>
      <c r="I5189"/>
    </row>
    <row r="5190" spans="2:9" ht="15" x14ac:dyDescent="0.25">
      <c r="B5190"/>
      <c r="C5190"/>
      <c r="D5190"/>
      <c r="E5190"/>
      <c r="F5190"/>
      <c r="G5190" s="20"/>
      <c r="H5190"/>
      <c r="I5190"/>
    </row>
    <row r="5191" spans="2:9" ht="15" x14ac:dyDescent="0.25">
      <c r="B5191"/>
      <c r="C5191"/>
      <c r="D5191"/>
      <c r="E5191"/>
      <c r="F5191"/>
      <c r="G5191" s="20"/>
      <c r="H5191"/>
      <c r="I5191"/>
    </row>
    <row r="5192" spans="2:9" ht="15" x14ac:dyDescent="0.25">
      <c r="B5192"/>
      <c r="C5192"/>
      <c r="D5192"/>
      <c r="E5192"/>
      <c r="F5192"/>
      <c r="G5192" s="20"/>
      <c r="H5192"/>
      <c r="I5192"/>
    </row>
    <row r="5193" spans="2:9" ht="15" x14ac:dyDescent="0.25">
      <c r="B5193"/>
      <c r="C5193"/>
      <c r="D5193"/>
      <c r="E5193"/>
      <c r="F5193"/>
      <c r="G5193" s="20"/>
      <c r="H5193"/>
      <c r="I5193"/>
    </row>
    <row r="5194" spans="2:9" ht="15" x14ac:dyDescent="0.25">
      <c r="B5194"/>
      <c r="C5194"/>
      <c r="D5194"/>
      <c r="E5194"/>
      <c r="F5194"/>
      <c r="G5194" s="20"/>
      <c r="H5194"/>
      <c r="I5194"/>
    </row>
    <row r="5195" spans="2:9" ht="15" x14ac:dyDescent="0.25">
      <c r="B5195"/>
      <c r="C5195"/>
      <c r="D5195"/>
      <c r="E5195"/>
      <c r="F5195"/>
      <c r="G5195" s="20"/>
      <c r="H5195"/>
      <c r="I5195"/>
    </row>
    <row r="5196" spans="2:9" ht="15" x14ac:dyDescent="0.25">
      <c r="B5196"/>
      <c r="C5196"/>
      <c r="D5196"/>
      <c r="E5196"/>
      <c r="F5196"/>
      <c r="G5196" s="20"/>
      <c r="H5196"/>
      <c r="I5196"/>
    </row>
    <row r="5197" spans="2:9" ht="15" x14ac:dyDescent="0.25">
      <c r="B5197"/>
      <c r="C5197"/>
      <c r="D5197"/>
      <c r="E5197"/>
      <c r="F5197"/>
      <c r="G5197" s="20"/>
      <c r="H5197"/>
      <c r="I5197"/>
    </row>
    <row r="5198" spans="2:9" ht="15" x14ac:dyDescent="0.25">
      <c r="B5198"/>
      <c r="C5198"/>
      <c r="D5198"/>
      <c r="E5198"/>
      <c r="F5198"/>
      <c r="G5198" s="20"/>
      <c r="H5198"/>
      <c r="I5198"/>
    </row>
    <row r="5199" spans="2:9" ht="15" x14ac:dyDescent="0.25">
      <c r="B5199"/>
      <c r="C5199"/>
      <c r="D5199"/>
      <c r="E5199"/>
      <c r="F5199"/>
      <c r="G5199" s="20"/>
      <c r="H5199"/>
      <c r="I5199"/>
    </row>
    <row r="5200" spans="2:9" ht="15" x14ac:dyDescent="0.25">
      <c r="B5200"/>
      <c r="C5200"/>
      <c r="D5200"/>
      <c r="E5200"/>
      <c r="F5200"/>
      <c r="G5200" s="20"/>
      <c r="H5200"/>
      <c r="I5200"/>
    </row>
    <row r="5201" spans="2:9" ht="15" x14ac:dyDescent="0.25">
      <c r="B5201"/>
      <c r="C5201"/>
      <c r="D5201"/>
      <c r="E5201"/>
      <c r="F5201"/>
      <c r="G5201" s="20"/>
      <c r="H5201"/>
      <c r="I5201"/>
    </row>
    <row r="5202" spans="2:9" ht="15" x14ac:dyDescent="0.25">
      <c r="B5202"/>
      <c r="C5202"/>
      <c r="D5202"/>
      <c r="E5202"/>
      <c r="F5202"/>
      <c r="G5202" s="20"/>
      <c r="H5202"/>
      <c r="I5202"/>
    </row>
    <row r="5203" spans="2:9" ht="15" x14ac:dyDescent="0.25">
      <c r="B5203"/>
      <c r="C5203"/>
      <c r="D5203"/>
      <c r="E5203"/>
      <c r="F5203"/>
      <c r="G5203" s="20"/>
      <c r="H5203"/>
      <c r="I5203"/>
    </row>
    <row r="5204" spans="2:9" ht="15" x14ac:dyDescent="0.25">
      <c r="B5204"/>
      <c r="C5204"/>
      <c r="D5204"/>
      <c r="E5204"/>
      <c r="F5204"/>
      <c r="G5204" s="20"/>
      <c r="H5204"/>
      <c r="I5204"/>
    </row>
    <row r="5205" spans="2:9" ht="15" x14ac:dyDescent="0.25">
      <c r="B5205"/>
      <c r="C5205"/>
      <c r="D5205"/>
      <c r="E5205"/>
      <c r="F5205"/>
      <c r="G5205" s="20"/>
      <c r="H5205"/>
      <c r="I5205"/>
    </row>
    <row r="5206" spans="2:9" ht="15" x14ac:dyDescent="0.25">
      <c r="B5206"/>
      <c r="C5206"/>
      <c r="D5206"/>
      <c r="E5206"/>
      <c r="F5206"/>
      <c r="G5206" s="20"/>
      <c r="H5206"/>
      <c r="I5206"/>
    </row>
    <row r="5207" spans="2:9" ht="15" x14ac:dyDescent="0.25">
      <c r="B5207"/>
      <c r="C5207"/>
      <c r="D5207"/>
      <c r="E5207"/>
      <c r="F5207"/>
      <c r="G5207" s="20"/>
      <c r="H5207"/>
      <c r="I5207"/>
    </row>
    <row r="5208" spans="2:9" ht="15" x14ac:dyDescent="0.25">
      <c r="B5208"/>
      <c r="C5208"/>
      <c r="D5208"/>
      <c r="E5208"/>
      <c r="F5208"/>
      <c r="G5208" s="20"/>
      <c r="H5208"/>
      <c r="I5208"/>
    </row>
    <row r="5209" spans="2:9" ht="15" x14ac:dyDescent="0.25">
      <c r="B5209"/>
      <c r="C5209"/>
      <c r="D5209"/>
      <c r="E5209"/>
      <c r="F5209"/>
      <c r="G5209" s="20"/>
      <c r="H5209"/>
      <c r="I5209"/>
    </row>
    <row r="5210" spans="2:9" ht="15" x14ac:dyDescent="0.25">
      <c r="B5210"/>
      <c r="C5210"/>
      <c r="D5210"/>
      <c r="E5210"/>
      <c r="F5210"/>
      <c r="G5210" s="20"/>
      <c r="H5210"/>
      <c r="I5210"/>
    </row>
    <row r="5211" spans="2:9" ht="15" x14ac:dyDescent="0.25">
      <c r="B5211"/>
      <c r="C5211"/>
      <c r="D5211"/>
      <c r="E5211"/>
      <c r="F5211"/>
      <c r="G5211" s="20"/>
      <c r="H5211"/>
      <c r="I5211"/>
    </row>
    <row r="5212" spans="2:9" ht="15" x14ac:dyDescent="0.25">
      <c r="B5212"/>
      <c r="C5212"/>
      <c r="D5212"/>
      <c r="E5212"/>
      <c r="F5212"/>
      <c r="G5212" s="20"/>
      <c r="H5212"/>
      <c r="I5212"/>
    </row>
    <row r="5213" spans="2:9" ht="15" x14ac:dyDescent="0.25">
      <c r="B5213"/>
      <c r="C5213"/>
      <c r="D5213"/>
      <c r="E5213"/>
      <c r="F5213"/>
      <c r="G5213" s="20"/>
      <c r="H5213"/>
      <c r="I5213"/>
    </row>
    <row r="5214" spans="2:9" ht="15" x14ac:dyDescent="0.25">
      <c r="B5214"/>
      <c r="C5214"/>
      <c r="D5214"/>
      <c r="E5214"/>
      <c r="F5214"/>
      <c r="G5214" s="20"/>
      <c r="H5214"/>
      <c r="I5214"/>
    </row>
    <row r="5215" spans="2:9" ht="15" x14ac:dyDescent="0.25">
      <c r="B5215"/>
      <c r="C5215"/>
      <c r="D5215"/>
      <c r="E5215"/>
      <c r="F5215"/>
      <c r="G5215" s="20"/>
      <c r="H5215"/>
      <c r="I5215"/>
    </row>
    <row r="5216" spans="2:9" ht="15" x14ac:dyDescent="0.25">
      <c r="B5216"/>
      <c r="C5216"/>
      <c r="D5216"/>
      <c r="E5216"/>
      <c r="F5216"/>
      <c r="G5216" s="20"/>
      <c r="H5216"/>
      <c r="I5216"/>
    </row>
    <row r="5217" spans="2:9" ht="15" x14ac:dyDescent="0.25">
      <c r="B5217"/>
      <c r="C5217"/>
      <c r="D5217"/>
      <c r="E5217"/>
      <c r="F5217"/>
      <c r="G5217" s="20"/>
      <c r="H5217"/>
      <c r="I5217"/>
    </row>
    <row r="5218" spans="2:9" ht="15" x14ac:dyDescent="0.25">
      <c r="B5218"/>
      <c r="C5218"/>
      <c r="D5218"/>
      <c r="E5218"/>
      <c r="F5218"/>
      <c r="G5218" s="20"/>
      <c r="H5218"/>
      <c r="I5218"/>
    </row>
    <row r="5219" spans="2:9" ht="15" x14ac:dyDescent="0.25">
      <c r="B5219"/>
      <c r="C5219"/>
      <c r="D5219"/>
      <c r="E5219"/>
      <c r="F5219"/>
      <c r="G5219" s="20"/>
      <c r="H5219"/>
      <c r="I5219"/>
    </row>
    <row r="5220" spans="2:9" ht="15" x14ac:dyDescent="0.25">
      <c r="B5220"/>
      <c r="C5220"/>
      <c r="D5220"/>
      <c r="E5220"/>
      <c r="F5220"/>
      <c r="G5220" s="20"/>
      <c r="H5220"/>
      <c r="I5220"/>
    </row>
    <row r="5221" spans="2:9" ht="15" x14ac:dyDescent="0.25">
      <c r="B5221"/>
      <c r="C5221"/>
      <c r="D5221"/>
      <c r="E5221"/>
      <c r="F5221"/>
      <c r="G5221" s="20"/>
      <c r="H5221"/>
      <c r="I5221"/>
    </row>
    <row r="5222" spans="2:9" ht="15" x14ac:dyDescent="0.25">
      <c r="B5222"/>
      <c r="C5222"/>
      <c r="D5222"/>
      <c r="E5222"/>
      <c r="F5222"/>
      <c r="G5222" s="20"/>
      <c r="H5222"/>
      <c r="I5222"/>
    </row>
    <row r="5223" spans="2:9" ht="15" x14ac:dyDescent="0.25">
      <c r="B5223"/>
      <c r="C5223"/>
      <c r="D5223"/>
      <c r="E5223"/>
      <c r="F5223"/>
      <c r="G5223" s="20"/>
      <c r="H5223"/>
      <c r="I5223"/>
    </row>
    <row r="5224" spans="2:9" ht="15" x14ac:dyDescent="0.25">
      <c r="B5224"/>
      <c r="C5224"/>
      <c r="D5224"/>
      <c r="E5224"/>
      <c r="F5224"/>
      <c r="G5224" s="20"/>
      <c r="H5224"/>
      <c r="I5224"/>
    </row>
    <row r="5225" spans="2:9" ht="15" x14ac:dyDescent="0.25">
      <c r="B5225"/>
      <c r="C5225"/>
      <c r="D5225"/>
      <c r="E5225"/>
      <c r="F5225"/>
      <c r="G5225" s="20"/>
      <c r="H5225"/>
      <c r="I5225"/>
    </row>
    <row r="5226" spans="2:9" ht="15" x14ac:dyDescent="0.25">
      <c r="B5226"/>
      <c r="C5226"/>
      <c r="D5226"/>
      <c r="E5226"/>
      <c r="F5226"/>
      <c r="G5226" s="20"/>
      <c r="H5226"/>
      <c r="I5226"/>
    </row>
    <row r="5227" spans="2:9" ht="15" x14ac:dyDescent="0.25">
      <c r="B5227"/>
      <c r="C5227"/>
      <c r="D5227"/>
      <c r="E5227"/>
      <c r="F5227"/>
      <c r="G5227" s="20"/>
      <c r="H5227"/>
      <c r="I5227"/>
    </row>
    <row r="5228" spans="2:9" ht="15" x14ac:dyDescent="0.25">
      <c r="B5228"/>
      <c r="C5228"/>
      <c r="D5228"/>
      <c r="E5228"/>
      <c r="F5228"/>
      <c r="G5228" s="20"/>
      <c r="H5228"/>
      <c r="I5228"/>
    </row>
    <row r="5229" spans="2:9" ht="15" x14ac:dyDescent="0.25">
      <c r="B5229"/>
      <c r="C5229"/>
      <c r="D5229"/>
      <c r="E5229"/>
      <c r="F5229"/>
      <c r="G5229" s="20"/>
      <c r="H5229"/>
      <c r="I5229"/>
    </row>
    <row r="5230" spans="2:9" ht="15" x14ac:dyDescent="0.25">
      <c r="B5230"/>
      <c r="C5230"/>
      <c r="D5230"/>
      <c r="E5230"/>
      <c r="F5230"/>
      <c r="G5230" s="20"/>
      <c r="H5230"/>
      <c r="I5230"/>
    </row>
    <row r="5231" spans="2:9" ht="15" x14ac:dyDescent="0.25">
      <c r="B5231"/>
      <c r="C5231"/>
      <c r="D5231"/>
      <c r="E5231"/>
      <c r="F5231"/>
      <c r="G5231" s="20"/>
      <c r="H5231"/>
      <c r="I5231"/>
    </row>
    <row r="5232" spans="2:9" ht="15" x14ac:dyDescent="0.25">
      <c r="B5232"/>
      <c r="C5232"/>
      <c r="D5232"/>
      <c r="E5232"/>
      <c r="F5232"/>
      <c r="G5232" s="20"/>
      <c r="H5232"/>
      <c r="I5232"/>
    </row>
    <row r="5233" spans="2:9" ht="15" x14ac:dyDescent="0.25">
      <c r="B5233"/>
      <c r="C5233"/>
      <c r="D5233"/>
      <c r="E5233"/>
      <c r="F5233"/>
      <c r="G5233" s="20"/>
      <c r="H5233"/>
      <c r="I5233"/>
    </row>
    <row r="5234" spans="2:9" ht="15" x14ac:dyDescent="0.25">
      <c r="B5234"/>
      <c r="C5234"/>
      <c r="D5234"/>
      <c r="E5234"/>
      <c r="F5234"/>
      <c r="G5234" s="20"/>
      <c r="H5234"/>
      <c r="I5234"/>
    </row>
    <row r="5235" spans="2:9" ht="15" x14ac:dyDescent="0.25">
      <c r="B5235"/>
      <c r="C5235"/>
      <c r="D5235"/>
      <c r="E5235"/>
      <c r="F5235"/>
      <c r="G5235" s="20"/>
      <c r="H5235"/>
      <c r="I5235"/>
    </row>
    <row r="5236" spans="2:9" ht="15" x14ac:dyDescent="0.25">
      <c r="B5236"/>
      <c r="C5236"/>
      <c r="D5236"/>
      <c r="E5236"/>
      <c r="F5236"/>
      <c r="G5236" s="20"/>
      <c r="H5236"/>
      <c r="I5236"/>
    </row>
    <row r="5237" spans="2:9" ht="15" x14ac:dyDescent="0.25">
      <c r="B5237"/>
      <c r="C5237"/>
      <c r="D5237"/>
      <c r="E5237"/>
      <c r="F5237"/>
      <c r="G5237" s="20"/>
      <c r="H5237"/>
      <c r="I5237"/>
    </row>
    <row r="5238" spans="2:9" ht="15" x14ac:dyDescent="0.25">
      <c r="B5238"/>
      <c r="C5238"/>
      <c r="D5238"/>
      <c r="E5238"/>
      <c r="F5238"/>
      <c r="G5238" s="20"/>
      <c r="H5238"/>
      <c r="I5238"/>
    </row>
    <row r="5239" spans="2:9" ht="15" x14ac:dyDescent="0.25">
      <c r="B5239"/>
      <c r="C5239"/>
      <c r="D5239"/>
      <c r="E5239"/>
      <c r="F5239"/>
      <c r="G5239" s="20"/>
      <c r="H5239"/>
      <c r="I5239"/>
    </row>
    <row r="5240" spans="2:9" ht="15" x14ac:dyDescent="0.25">
      <c r="B5240"/>
      <c r="C5240"/>
      <c r="D5240"/>
      <c r="E5240"/>
      <c r="F5240"/>
      <c r="G5240" s="20"/>
      <c r="H5240"/>
      <c r="I5240"/>
    </row>
    <row r="5241" spans="2:9" ht="15" x14ac:dyDescent="0.25">
      <c r="B5241"/>
      <c r="C5241"/>
      <c r="D5241"/>
      <c r="E5241"/>
      <c r="F5241"/>
      <c r="G5241" s="20"/>
      <c r="H5241"/>
      <c r="I5241"/>
    </row>
    <row r="5242" spans="2:9" ht="15" x14ac:dyDescent="0.25">
      <c r="B5242"/>
      <c r="C5242"/>
      <c r="D5242"/>
      <c r="E5242"/>
      <c r="F5242"/>
      <c r="G5242" s="20"/>
      <c r="H5242"/>
      <c r="I5242"/>
    </row>
    <row r="5243" spans="2:9" ht="15" x14ac:dyDescent="0.25">
      <c r="B5243"/>
      <c r="C5243"/>
      <c r="D5243"/>
      <c r="E5243"/>
      <c r="F5243"/>
      <c r="G5243" s="20"/>
      <c r="H5243"/>
      <c r="I5243"/>
    </row>
    <row r="5244" spans="2:9" ht="15" x14ac:dyDescent="0.25">
      <c r="B5244"/>
      <c r="C5244"/>
      <c r="D5244"/>
      <c r="E5244"/>
      <c r="F5244"/>
      <c r="G5244" s="20"/>
      <c r="H5244"/>
      <c r="I5244"/>
    </row>
    <row r="5245" spans="2:9" ht="15" x14ac:dyDescent="0.25">
      <c r="B5245"/>
      <c r="C5245"/>
      <c r="D5245"/>
      <c r="E5245"/>
      <c r="F5245"/>
      <c r="G5245" s="20"/>
      <c r="H5245"/>
      <c r="I5245"/>
    </row>
    <row r="5246" spans="2:9" ht="15" x14ac:dyDescent="0.25">
      <c r="B5246"/>
      <c r="C5246"/>
      <c r="D5246"/>
      <c r="E5246"/>
      <c r="F5246"/>
      <c r="G5246" s="20"/>
      <c r="H5246"/>
      <c r="I5246"/>
    </row>
    <row r="5247" spans="2:9" ht="15" x14ac:dyDescent="0.25">
      <c r="B5247"/>
      <c r="C5247"/>
      <c r="D5247"/>
      <c r="E5247"/>
      <c r="F5247"/>
      <c r="G5247" s="20"/>
      <c r="H5247"/>
      <c r="I5247"/>
    </row>
    <row r="5248" spans="2:9" ht="15" x14ac:dyDescent="0.25">
      <c r="B5248"/>
      <c r="C5248"/>
      <c r="D5248"/>
      <c r="E5248"/>
      <c r="F5248"/>
      <c r="G5248" s="20"/>
      <c r="H5248"/>
      <c r="I5248"/>
    </row>
    <row r="5249" spans="2:9" ht="15" x14ac:dyDescent="0.25">
      <c r="B5249"/>
      <c r="C5249"/>
      <c r="D5249"/>
      <c r="E5249"/>
      <c r="F5249"/>
      <c r="G5249" s="20"/>
      <c r="H5249"/>
      <c r="I5249"/>
    </row>
    <row r="5250" spans="2:9" ht="15" x14ac:dyDescent="0.25">
      <c r="B5250"/>
      <c r="C5250"/>
      <c r="D5250"/>
      <c r="E5250"/>
      <c r="F5250"/>
      <c r="G5250" s="20"/>
      <c r="H5250"/>
      <c r="I5250"/>
    </row>
    <row r="5251" spans="2:9" ht="15" x14ac:dyDescent="0.25">
      <c r="B5251"/>
      <c r="C5251"/>
      <c r="D5251"/>
      <c r="E5251"/>
      <c r="F5251"/>
      <c r="G5251" s="20"/>
      <c r="H5251"/>
      <c r="I5251"/>
    </row>
    <row r="5252" spans="2:9" ht="15" x14ac:dyDescent="0.25">
      <c r="B5252"/>
      <c r="C5252"/>
      <c r="D5252"/>
      <c r="E5252"/>
      <c r="F5252"/>
      <c r="G5252" s="20"/>
      <c r="H5252"/>
      <c r="I5252"/>
    </row>
    <row r="5253" spans="2:9" ht="15" x14ac:dyDescent="0.25">
      <c r="B5253"/>
      <c r="C5253"/>
      <c r="D5253"/>
      <c r="E5253"/>
      <c r="F5253"/>
      <c r="G5253" s="20"/>
      <c r="H5253"/>
      <c r="I5253"/>
    </row>
    <row r="5254" spans="2:9" ht="15" x14ac:dyDescent="0.25">
      <c r="B5254"/>
      <c r="C5254"/>
      <c r="D5254"/>
      <c r="E5254"/>
      <c r="F5254"/>
      <c r="G5254" s="20"/>
      <c r="H5254"/>
      <c r="I5254"/>
    </row>
    <row r="5255" spans="2:9" ht="15" x14ac:dyDescent="0.25">
      <c r="B5255"/>
      <c r="C5255"/>
      <c r="D5255"/>
      <c r="E5255"/>
      <c r="F5255"/>
      <c r="G5255" s="20"/>
      <c r="H5255"/>
      <c r="I5255"/>
    </row>
    <row r="5256" spans="2:9" ht="15" x14ac:dyDescent="0.25">
      <c r="B5256"/>
      <c r="C5256"/>
      <c r="D5256"/>
      <c r="E5256"/>
      <c r="F5256"/>
      <c r="G5256" s="20"/>
      <c r="H5256"/>
      <c r="I5256"/>
    </row>
    <row r="5257" spans="2:9" ht="15" x14ac:dyDescent="0.25">
      <c r="B5257"/>
      <c r="C5257"/>
      <c r="D5257"/>
      <c r="E5257"/>
      <c r="F5257"/>
      <c r="G5257" s="20"/>
      <c r="H5257"/>
      <c r="I5257"/>
    </row>
    <row r="5258" spans="2:9" ht="15" x14ac:dyDescent="0.25">
      <c r="B5258"/>
      <c r="C5258"/>
      <c r="D5258"/>
      <c r="E5258"/>
      <c r="F5258"/>
      <c r="G5258" s="20"/>
      <c r="H5258"/>
      <c r="I5258"/>
    </row>
    <row r="5259" spans="2:9" ht="15" x14ac:dyDescent="0.25">
      <c r="B5259"/>
      <c r="C5259"/>
      <c r="D5259"/>
      <c r="E5259"/>
      <c r="F5259"/>
      <c r="G5259" s="20"/>
      <c r="H5259"/>
      <c r="I5259"/>
    </row>
    <row r="5260" spans="2:9" ht="15" x14ac:dyDescent="0.25">
      <c r="B5260"/>
      <c r="C5260"/>
      <c r="D5260"/>
      <c r="E5260"/>
      <c r="F5260"/>
      <c r="G5260" s="20"/>
      <c r="H5260"/>
      <c r="I5260"/>
    </row>
    <row r="5261" spans="2:9" ht="15" x14ac:dyDescent="0.25">
      <c r="B5261"/>
      <c r="C5261"/>
      <c r="D5261"/>
      <c r="E5261"/>
      <c r="F5261"/>
      <c r="G5261" s="20"/>
      <c r="H5261"/>
      <c r="I5261"/>
    </row>
    <row r="5262" spans="2:9" ht="15" x14ac:dyDescent="0.25">
      <c r="B5262"/>
      <c r="C5262"/>
      <c r="D5262"/>
      <c r="E5262"/>
      <c r="F5262"/>
      <c r="G5262" s="20"/>
      <c r="H5262"/>
      <c r="I5262"/>
    </row>
    <row r="5263" spans="2:9" ht="15" x14ac:dyDescent="0.25">
      <c r="B5263"/>
      <c r="C5263"/>
      <c r="D5263"/>
      <c r="E5263"/>
      <c r="F5263"/>
      <c r="G5263" s="20"/>
      <c r="H5263"/>
      <c r="I5263"/>
    </row>
    <row r="5264" spans="2:9" ht="15" x14ac:dyDescent="0.25">
      <c r="B5264"/>
      <c r="C5264"/>
      <c r="D5264"/>
      <c r="E5264"/>
      <c r="F5264"/>
      <c r="G5264" s="20"/>
      <c r="H5264"/>
      <c r="I5264"/>
    </row>
    <row r="5265" spans="2:9" ht="15" x14ac:dyDescent="0.25">
      <c r="B5265"/>
      <c r="C5265"/>
      <c r="D5265"/>
      <c r="E5265"/>
      <c r="F5265"/>
      <c r="G5265" s="20"/>
      <c r="H5265"/>
      <c r="I5265"/>
    </row>
    <row r="5266" spans="2:9" ht="15" x14ac:dyDescent="0.25">
      <c r="B5266"/>
      <c r="C5266"/>
      <c r="D5266"/>
      <c r="E5266"/>
      <c r="F5266"/>
      <c r="G5266" s="20"/>
      <c r="H5266"/>
      <c r="I5266"/>
    </row>
    <row r="5267" spans="2:9" ht="15" x14ac:dyDescent="0.25">
      <c r="B5267"/>
      <c r="C5267"/>
      <c r="D5267"/>
      <c r="E5267"/>
      <c r="F5267"/>
      <c r="G5267" s="20"/>
      <c r="H5267"/>
      <c r="I5267"/>
    </row>
    <row r="5268" spans="2:9" ht="15" x14ac:dyDescent="0.25">
      <c r="B5268"/>
      <c r="C5268"/>
      <c r="D5268"/>
      <c r="E5268"/>
      <c r="F5268"/>
      <c r="G5268" s="20"/>
      <c r="H5268"/>
      <c r="I5268"/>
    </row>
    <row r="5269" spans="2:9" ht="15" x14ac:dyDescent="0.25">
      <c r="B5269"/>
      <c r="C5269"/>
      <c r="D5269"/>
      <c r="E5269"/>
      <c r="F5269"/>
      <c r="G5269" s="20"/>
      <c r="H5269"/>
      <c r="I5269"/>
    </row>
    <row r="5270" spans="2:9" ht="15" x14ac:dyDescent="0.25">
      <c r="B5270"/>
      <c r="C5270"/>
      <c r="D5270"/>
      <c r="E5270"/>
      <c r="F5270"/>
      <c r="G5270" s="20"/>
      <c r="H5270"/>
      <c r="I5270"/>
    </row>
    <row r="5271" spans="2:9" ht="15" x14ac:dyDescent="0.25">
      <c r="B5271"/>
      <c r="C5271"/>
      <c r="D5271"/>
      <c r="E5271"/>
      <c r="F5271"/>
      <c r="G5271" s="20"/>
      <c r="H5271"/>
      <c r="I5271"/>
    </row>
    <row r="5272" spans="2:9" ht="15" x14ac:dyDescent="0.25">
      <c r="B5272"/>
      <c r="C5272"/>
      <c r="D5272"/>
      <c r="E5272"/>
      <c r="F5272"/>
      <c r="G5272" s="20"/>
      <c r="H5272"/>
      <c r="I5272"/>
    </row>
    <row r="5273" spans="2:9" ht="15" x14ac:dyDescent="0.25">
      <c r="B5273"/>
      <c r="C5273"/>
      <c r="D5273"/>
      <c r="E5273"/>
      <c r="F5273"/>
      <c r="G5273" s="20"/>
      <c r="H5273"/>
      <c r="I5273"/>
    </row>
    <row r="5274" spans="2:9" ht="15" x14ac:dyDescent="0.25">
      <c r="B5274"/>
      <c r="C5274"/>
      <c r="D5274"/>
      <c r="E5274"/>
      <c r="F5274"/>
      <c r="G5274" s="20"/>
      <c r="H5274"/>
      <c r="I5274"/>
    </row>
    <row r="5275" spans="2:9" ht="15" x14ac:dyDescent="0.25">
      <c r="B5275"/>
      <c r="C5275"/>
      <c r="D5275"/>
      <c r="E5275"/>
      <c r="F5275"/>
      <c r="G5275" s="20"/>
      <c r="H5275"/>
      <c r="I5275"/>
    </row>
    <row r="5276" spans="2:9" ht="15" x14ac:dyDescent="0.25">
      <c r="B5276"/>
      <c r="C5276"/>
      <c r="D5276"/>
      <c r="E5276"/>
      <c r="F5276"/>
      <c r="G5276" s="20"/>
      <c r="H5276"/>
      <c r="I5276"/>
    </row>
    <row r="5277" spans="2:9" ht="15" x14ac:dyDescent="0.25">
      <c r="B5277"/>
      <c r="C5277"/>
      <c r="D5277"/>
      <c r="E5277"/>
      <c r="F5277"/>
      <c r="G5277" s="20"/>
      <c r="H5277"/>
      <c r="I5277"/>
    </row>
    <row r="5278" spans="2:9" ht="15" x14ac:dyDescent="0.25">
      <c r="B5278"/>
      <c r="C5278"/>
      <c r="D5278"/>
      <c r="E5278"/>
      <c r="F5278"/>
      <c r="G5278" s="20"/>
      <c r="H5278"/>
      <c r="I5278"/>
    </row>
    <row r="5279" spans="2:9" ht="15" x14ac:dyDescent="0.25">
      <c r="B5279"/>
      <c r="C5279"/>
      <c r="D5279"/>
      <c r="E5279"/>
      <c r="F5279"/>
      <c r="G5279" s="20"/>
      <c r="H5279"/>
      <c r="I5279"/>
    </row>
    <row r="5280" spans="2:9" ht="15" x14ac:dyDescent="0.25">
      <c r="B5280"/>
      <c r="C5280"/>
      <c r="D5280"/>
      <c r="E5280"/>
      <c r="F5280"/>
      <c r="G5280" s="20"/>
      <c r="H5280"/>
      <c r="I5280"/>
    </row>
    <row r="5281" spans="2:9" ht="15" x14ac:dyDescent="0.25">
      <c r="B5281"/>
      <c r="C5281"/>
      <c r="D5281"/>
      <c r="E5281"/>
      <c r="F5281"/>
      <c r="G5281" s="20"/>
      <c r="H5281"/>
      <c r="I5281"/>
    </row>
    <row r="5282" spans="2:9" ht="15" x14ac:dyDescent="0.25">
      <c r="B5282"/>
      <c r="C5282"/>
      <c r="D5282"/>
      <c r="E5282"/>
      <c r="F5282"/>
      <c r="G5282" s="20"/>
      <c r="H5282"/>
      <c r="I5282"/>
    </row>
    <row r="5283" spans="2:9" ht="15" x14ac:dyDescent="0.25">
      <c r="B5283"/>
      <c r="C5283"/>
      <c r="D5283"/>
      <c r="E5283"/>
      <c r="F5283"/>
      <c r="G5283" s="20"/>
      <c r="H5283"/>
      <c r="I5283"/>
    </row>
    <row r="5284" spans="2:9" ht="15" x14ac:dyDescent="0.25">
      <c r="B5284"/>
      <c r="C5284"/>
      <c r="D5284"/>
      <c r="E5284"/>
      <c r="F5284"/>
      <c r="G5284" s="20"/>
      <c r="H5284"/>
      <c r="I5284"/>
    </row>
    <row r="5285" spans="2:9" ht="15" x14ac:dyDescent="0.25">
      <c r="B5285"/>
      <c r="C5285"/>
      <c r="D5285"/>
      <c r="E5285"/>
      <c r="F5285"/>
      <c r="G5285" s="20"/>
      <c r="H5285"/>
      <c r="I5285"/>
    </row>
    <row r="5286" spans="2:9" ht="15" x14ac:dyDescent="0.25">
      <c r="B5286"/>
      <c r="C5286"/>
      <c r="D5286"/>
      <c r="E5286"/>
      <c r="F5286"/>
      <c r="G5286" s="20"/>
      <c r="H5286"/>
      <c r="I5286"/>
    </row>
    <row r="5287" spans="2:9" ht="15" x14ac:dyDescent="0.25">
      <c r="B5287"/>
      <c r="C5287"/>
      <c r="D5287"/>
      <c r="E5287"/>
      <c r="F5287"/>
      <c r="G5287" s="20"/>
      <c r="H5287"/>
      <c r="I5287"/>
    </row>
    <row r="5288" spans="2:9" ht="15" x14ac:dyDescent="0.25">
      <c r="B5288"/>
      <c r="C5288"/>
      <c r="D5288"/>
      <c r="E5288"/>
      <c r="F5288"/>
      <c r="G5288" s="20"/>
      <c r="H5288"/>
      <c r="I5288"/>
    </row>
    <row r="5289" spans="2:9" ht="15" x14ac:dyDescent="0.25">
      <c r="B5289"/>
      <c r="C5289"/>
      <c r="D5289"/>
      <c r="E5289"/>
      <c r="F5289"/>
      <c r="G5289" s="20"/>
      <c r="H5289"/>
      <c r="I5289"/>
    </row>
    <row r="5290" spans="2:9" ht="15" x14ac:dyDescent="0.25">
      <c r="B5290"/>
      <c r="C5290"/>
      <c r="D5290"/>
      <c r="E5290"/>
      <c r="F5290"/>
      <c r="G5290" s="20"/>
      <c r="H5290"/>
      <c r="I5290"/>
    </row>
    <row r="5291" spans="2:9" ht="15" x14ac:dyDescent="0.25">
      <c r="B5291"/>
      <c r="C5291"/>
      <c r="D5291"/>
      <c r="E5291"/>
      <c r="F5291"/>
      <c r="G5291" s="20"/>
      <c r="H5291"/>
      <c r="I5291"/>
    </row>
    <row r="5292" spans="2:9" ht="15" x14ac:dyDescent="0.25">
      <c r="B5292"/>
      <c r="C5292"/>
      <c r="D5292"/>
      <c r="E5292"/>
      <c r="F5292"/>
      <c r="G5292" s="20"/>
      <c r="H5292"/>
      <c r="I5292"/>
    </row>
    <row r="5293" spans="2:9" ht="15" x14ac:dyDescent="0.25">
      <c r="B5293"/>
      <c r="C5293"/>
      <c r="D5293"/>
      <c r="E5293"/>
      <c r="F5293"/>
      <c r="G5293" s="20"/>
      <c r="H5293"/>
      <c r="I5293"/>
    </row>
    <row r="5294" spans="2:9" ht="15" x14ac:dyDescent="0.25">
      <c r="B5294"/>
      <c r="C5294"/>
      <c r="D5294"/>
      <c r="E5294"/>
      <c r="F5294"/>
      <c r="G5294" s="20"/>
      <c r="H5294"/>
      <c r="I5294"/>
    </row>
    <row r="5295" spans="2:9" ht="15" x14ac:dyDescent="0.25">
      <c r="B5295"/>
      <c r="C5295"/>
      <c r="D5295"/>
      <c r="E5295"/>
      <c r="F5295"/>
      <c r="G5295" s="20"/>
      <c r="H5295"/>
      <c r="I5295"/>
    </row>
    <row r="5296" spans="2:9" ht="15" x14ac:dyDescent="0.25">
      <c r="B5296"/>
      <c r="C5296"/>
      <c r="D5296"/>
      <c r="E5296"/>
      <c r="F5296"/>
      <c r="G5296" s="20"/>
      <c r="H5296"/>
      <c r="I5296"/>
    </row>
    <row r="5297" spans="2:9" ht="15" x14ac:dyDescent="0.25">
      <c r="B5297"/>
      <c r="C5297"/>
      <c r="D5297"/>
      <c r="E5297"/>
      <c r="F5297"/>
      <c r="G5297" s="20"/>
      <c r="H5297"/>
      <c r="I5297"/>
    </row>
    <row r="5298" spans="2:9" ht="15" x14ac:dyDescent="0.25">
      <c r="B5298"/>
      <c r="C5298"/>
      <c r="D5298"/>
      <c r="E5298"/>
      <c r="F5298"/>
      <c r="G5298" s="20"/>
      <c r="H5298"/>
      <c r="I5298"/>
    </row>
    <row r="5299" spans="2:9" ht="15" x14ac:dyDescent="0.25">
      <c r="B5299"/>
      <c r="C5299"/>
      <c r="D5299"/>
      <c r="E5299"/>
      <c r="F5299"/>
      <c r="G5299" s="20"/>
      <c r="H5299"/>
      <c r="I5299"/>
    </row>
    <row r="5300" spans="2:9" ht="15" x14ac:dyDescent="0.25">
      <c r="B5300"/>
      <c r="C5300"/>
      <c r="D5300"/>
      <c r="E5300"/>
      <c r="F5300"/>
      <c r="G5300" s="20"/>
      <c r="H5300"/>
      <c r="I5300"/>
    </row>
    <row r="5301" spans="2:9" ht="15" x14ac:dyDescent="0.25">
      <c r="B5301"/>
      <c r="C5301"/>
      <c r="D5301"/>
      <c r="E5301"/>
      <c r="F5301"/>
      <c r="G5301" s="20"/>
      <c r="H5301"/>
      <c r="I5301"/>
    </row>
    <row r="5302" spans="2:9" ht="15" x14ac:dyDescent="0.25">
      <c r="B5302"/>
      <c r="C5302"/>
      <c r="D5302"/>
      <c r="E5302"/>
      <c r="F5302"/>
      <c r="G5302" s="20"/>
      <c r="H5302"/>
      <c r="I5302"/>
    </row>
    <row r="5303" spans="2:9" ht="15" x14ac:dyDescent="0.25">
      <c r="B5303"/>
      <c r="C5303"/>
      <c r="D5303"/>
      <c r="E5303"/>
      <c r="F5303"/>
      <c r="G5303" s="20"/>
      <c r="H5303"/>
      <c r="I5303"/>
    </row>
    <row r="5304" spans="2:9" ht="15" x14ac:dyDescent="0.25">
      <c r="B5304"/>
      <c r="C5304"/>
      <c r="D5304"/>
      <c r="E5304"/>
      <c r="F5304"/>
      <c r="G5304" s="20"/>
      <c r="H5304"/>
      <c r="I5304"/>
    </row>
    <row r="5305" spans="2:9" ht="15" x14ac:dyDescent="0.25">
      <c r="B5305"/>
      <c r="C5305"/>
      <c r="D5305"/>
      <c r="E5305"/>
      <c r="F5305"/>
      <c r="G5305" s="20"/>
      <c r="H5305"/>
      <c r="I5305"/>
    </row>
    <row r="5306" spans="2:9" ht="15" x14ac:dyDescent="0.25">
      <c r="B5306"/>
      <c r="C5306"/>
      <c r="D5306"/>
      <c r="E5306"/>
      <c r="F5306"/>
      <c r="G5306" s="20"/>
      <c r="H5306"/>
      <c r="I5306"/>
    </row>
    <row r="5307" spans="2:9" ht="15" x14ac:dyDescent="0.25">
      <c r="B5307"/>
      <c r="C5307"/>
      <c r="D5307"/>
      <c r="E5307"/>
      <c r="F5307"/>
      <c r="G5307" s="20"/>
      <c r="H5307"/>
      <c r="I5307"/>
    </row>
    <row r="5308" spans="2:9" ht="15" x14ac:dyDescent="0.25">
      <c r="B5308"/>
      <c r="C5308"/>
      <c r="D5308"/>
      <c r="E5308"/>
      <c r="F5308"/>
      <c r="G5308" s="20"/>
      <c r="H5308"/>
      <c r="I5308"/>
    </row>
    <row r="5309" spans="2:9" ht="15" x14ac:dyDescent="0.25">
      <c r="B5309"/>
      <c r="C5309"/>
      <c r="D5309"/>
      <c r="E5309"/>
      <c r="F5309"/>
      <c r="G5309" s="20"/>
      <c r="H5309"/>
      <c r="I5309"/>
    </row>
    <row r="5310" spans="2:9" ht="15" x14ac:dyDescent="0.25">
      <c r="B5310"/>
      <c r="C5310"/>
      <c r="D5310"/>
      <c r="E5310"/>
      <c r="F5310"/>
      <c r="G5310" s="20"/>
      <c r="H5310"/>
      <c r="I5310"/>
    </row>
    <row r="5311" spans="2:9" ht="15" x14ac:dyDescent="0.25">
      <c r="B5311"/>
      <c r="C5311"/>
      <c r="D5311"/>
      <c r="E5311"/>
      <c r="F5311"/>
      <c r="G5311" s="20"/>
      <c r="H5311"/>
      <c r="I5311"/>
    </row>
    <row r="5312" spans="2:9" ht="15" x14ac:dyDescent="0.25">
      <c r="B5312"/>
      <c r="C5312"/>
      <c r="D5312"/>
      <c r="E5312"/>
      <c r="F5312"/>
      <c r="G5312" s="20"/>
      <c r="H5312"/>
      <c r="I5312"/>
    </row>
    <row r="5313" spans="2:9" ht="15" x14ac:dyDescent="0.25">
      <c r="B5313"/>
      <c r="C5313"/>
      <c r="D5313"/>
      <c r="E5313"/>
      <c r="F5313"/>
      <c r="G5313" s="20"/>
      <c r="H5313"/>
      <c r="I5313"/>
    </row>
    <row r="5314" spans="2:9" ht="15" x14ac:dyDescent="0.25">
      <c r="B5314"/>
      <c r="C5314"/>
      <c r="D5314"/>
      <c r="E5314"/>
      <c r="F5314"/>
      <c r="G5314" s="20"/>
      <c r="H5314"/>
      <c r="I5314"/>
    </row>
    <row r="5315" spans="2:9" ht="15" x14ac:dyDescent="0.25">
      <c r="B5315"/>
      <c r="C5315"/>
      <c r="D5315"/>
      <c r="E5315"/>
      <c r="F5315"/>
      <c r="G5315" s="20"/>
      <c r="H5315"/>
      <c r="I5315"/>
    </row>
    <row r="5316" spans="2:9" ht="15" x14ac:dyDescent="0.25">
      <c r="B5316"/>
      <c r="C5316"/>
      <c r="D5316"/>
      <c r="E5316"/>
      <c r="F5316"/>
      <c r="G5316" s="20"/>
      <c r="H5316"/>
      <c r="I5316"/>
    </row>
    <row r="5317" spans="2:9" ht="15" x14ac:dyDescent="0.25">
      <c r="B5317"/>
      <c r="C5317"/>
      <c r="D5317"/>
      <c r="E5317"/>
      <c r="F5317"/>
      <c r="G5317" s="20"/>
      <c r="H5317"/>
      <c r="I5317"/>
    </row>
    <row r="5318" spans="2:9" ht="15" x14ac:dyDescent="0.25">
      <c r="B5318"/>
      <c r="C5318"/>
      <c r="D5318"/>
      <c r="E5318"/>
      <c r="F5318"/>
      <c r="G5318" s="20"/>
      <c r="H5318"/>
      <c r="I5318"/>
    </row>
    <row r="5319" spans="2:9" ht="15" x14ac:dyDescent="0.25">
      <c r="B5319"/>
      <c r="C5319"/>
      <c r="D5319"/>
      <c r="E5319"/>
      <c r="F5319"/>
      <c r="G5319" s="20"/>
      <c r="H5319"/>
      <c r="I5319"/>
    </row>
    <row r="5320" spans="2:9" ht="15" x14ac:dyDescent="0.25">
      <c r="B5320"/>
      <c r="C5320"/>
      <c r="D5320"/>
      <c r="E5320"/>
      <c r="F5320"/>
      <c r="G5320" s="20"/>
      <c r="H5320"/>
      <c r="I5320"/>
    </row>
    <row r="5321" spans="2:9" ht="15" x14ac:dyDescent="0.25">
      <c r="B5321"/>
      <c r="C5321"/>
      <c r="D5321"/>
      <c r="E5321"/>
      <c r="F5321"/>
      <c r="G5321" s="20"/>
      <c r="H5321"/>
      <c r="I5321"/>
    </row>
    <row r="5322" spans="2:9" ht="15" x14ac:dyDescent="0.25">
      <c r="B5322"/>
      <c r="C5322"/>
      <c r="D5322"/>
      <c r="E5322"/>
      <c r="F5322"/>
      <c r="G5322" s="20"/>
      <c r="H5322"/>
      <c r="I5322"/>
    </row>
    <row r="5323" spans="2:9" ht="15" x14ac:dyDescent="0.25">
      <c r="B5323"/>
      <c r="C5323"/>
      <c r="D5323"/>
      <c r="E5323"/>
      <c r="F5323"/>
      <c r="G5323" s="20"/>
      <c r="H5323"/>
      <c r="I5323"/>
    </row>
    <row r="5324" spans="2:9" ht="15" x14ac:dyDescent="0.25">
      <c r="B5324"/>
      <c r="C5324"/>
      <c r="D5324"/>
      <c r="E5324"/>
      <c r="F5324"/>
      <c r="G5324" s="20"/>
      <c r="H5324"/>
      <c r="I5324"/>
    </row>
    <row r="5325" spans="2:9" ht="15" x14ac:dyDescent="0.25">
      <c r="B5325"/>
      <c r="C5325"/>
      <c r="D5325"/>
      <c r="E5325"/>
      <c r="F5325"/>
      <c r="G5325" s="20"/>
      <c r="H5325"/>
      <c r="I5325"/>
    </row>
    <row r="5326" spans="2:9" ht="15" x14ac:dyDescent="0.25">
      <c r="B5326"/>
      <c r="C5326"/>
      <c r="D5326"/>
      <c r="E5326"/>
      <c r="F5326"/>
      <c r="G5326" s="20"/>
      <c r="H5326"/>
      <c r="I5326"/>
    </row>
    <row r="5327" spans="2:9" ht="15" x14ac:dyDescent="0.25">
      <c r="B5327"/>
      <c r="C5327"/>
      <c r="D5327"/>
      <c r="E5327"/>
      <c r="F5327"/>
      <c r="G5327" s="20"/>
      <c r="H5327"/>
      <c r="I5327"/>
    </row>
    <row r="5328" spans="2:9" ht="15" x14ac:dyDescent="0.25">
      <c r="B5328"/>
      <c r="C5328"/>
      <c r="D5328"/>
      <c r="E5328"/>
      <c r="F5328"/>
      <c r="G5328" s="20"/>
      <c r="H5328"/>
      <c r="I5328"/>
    </row>
    <row r="5329" spans="2:9" ht="15" x14ac:dyDescent="0.25">
      <c r="B5329"/>
      <c r="C5329"/>
      <c r="D5329"/>
      <c r="E5329"/>
      <c r="F5329"/>
      <c r="G5329" s="20"/>
      <c r="H5329"/>
      <c r="I5329"/>
    </row>
    <row r="5330" spans="2:9" ht="15" x14ac:dyDescent="0.25">
      <c r="B5330"/>
      <c r="C5330"/>
      <c r="D5330"/>
      <c r="E5330"/>
      <c r="F5330"/>
      <c r="G5330" s="20"/>
      <c r="H5330"/>
      <c r="I5330"/>
    </row>
    <row r="5331" spans="2:9" ht="15" x14ac:dyDescent="0.25">
      <c r="B5331"/>
      <c r="C5331"/>
      <c r="D5331"/>
      <c r="E5331"/>
      <c r="F5331"/>
      <c r="G5331" s="20"/>
      <c r="H5331"/>
      <c r="I5331"/>
    </row>
    <row r="5332" spans="2:9" ht="15" x14ac:dyDescent="0.25">
      <c r="B5332"/>
      <c r="C5332"/>
      <c r="D5332"/>
      <c r="E5332"/>
      <c r="F5332"/>
      <c r="G5332" s="20"/>
      <c r="H5332"/>
      <c r="I5332"/>
    </row>
    <row r="5333" spans="2:9" ht="15" x14ac:dyDescent="0.25">
      <c r="B5333"/>
      <c r="C5333"/>
      <c r="D5333"/>
      <c r="E5333"/>
      <c r="F5333"/>
      <c r="G5333" s="20"/>
      <c r="H5333"/>
      <c r="I5333"/>
    </row>
    <row r="5334" spans="2:9" ht="15" x14ac:dyDescent="0.25">
      <c r="B5334"/>
      <c r="C5334"/>
      <c r="D5334"/>
      <c r="E5334"/>
      <c r="F5334"/>
      <c r="G5334" s="20"/>
      <c r="H5334"/>
      <c r="I5334"/>
    </row>
    <row r="5335" spans="2:9" ht="15" x14ac:dyDescent="0.25">
      <c r="B5335"/>
      <c r="C5335"/>
      <c r="D5335"/>
      <c r="E5335"/>
      <c r="F5335"/>
      <c r="G5335" s="20"/>
      <c r="H5335"/>
      <c r="I5335"/>
    </row>
    <row r="5336" spans="2:9" ht="15" x14ac:dyDescent="0.25">
      <c r="B5336"/>
      <c r="C5336"/>
      <c r="D5336"/>
      <c r="E5336"/>
      <c r="F5336"/>
      <c r="G5336" s="20"/>
      <c r="H5336"/>
      <c r="I5336"/>
    </row>
    <row r="5337" spans="2:9" ht="15" x14ac:dyDescent="0.25">
      <c r="B5337"/>
      <c r="C5337"/>
      <c r="D5337"/>
      <c r="E5337"/>
      <c r="F5337"/>
      <c r="G5337" s="20"/>
      <c r="H5337"/>
      <c r="I5337"/>
    </row>
    <row r="5338" spans="2:9" ht="15" x14ac:dyDescent="0.25">
      <c r="B5338"/>
      <c r="C5338"/>
      <c r="D5338"/>
      <c r="E5338"/>
      <c r="F5338"/>
      <c r="G5338" s="20"/>
      <c r="H5338"/>
      <c r="I5338"/>
    </row>
    <row r="5339" spans="2:9" ht="15" x14ac:dyDescent="0.25">
      <c r="B5339"/>
      <c r="C5339"/>
      <c r="D5339"/>
      <c r="E5339"/>
      <c r="F5339"/>
      <c r="G5339" s="20"/>
      <c r="H5339"/>
      <c r="I5339"/>
    </row>
    <row r="5340" spans="2:9" ht="15" x14ac:dyDescent="0.25">
      <c r="B5340"/>
      <c r="C5340"/>
      <c r="D5340"/>
      <c r="E5340"/>
      <c r="F5340"/>
      <c r="G5340" s="20"/>
      <c r="H5340"/>
      <c r="I5340"/>
    </row>
    <row r="5341" spans="2:9" ht="15" x14ac:dyDescent="0.25">
      <c r="B5341"/>
      <c r="C5341"/>
      <c r="D5341"/>
      <c r="E5341"/>
      <c r="F5341"/>
      <c r="G5341" s="20"/>
      <c r="H5341"/>
      <c r="I5341"/>
    </row>
    <row r="5342" spans="2:9" ht="15" x14ac:dyDescent="0.25">
      <c r="B5342"/>
      <c r="C5342"/>
      <c r="D5342"/>
      <c r="E5342"/>
      <c r="F5342"/>
      <c r="G5342" s="20"/>
      <c r="H5342"/>
      <c r="I5342"/>
    </row>
    <row r="5343" spans="2:9" ht="15" x14ac:dyDescent="0.25">
      <c r="B5343"/>
      <c r="C5343"/>
      <c r="D5343"/>
      <c r="E5343"/>
      <c r="F5343"/>
      <c r="G5343" s="20"/>
      <c r="H5343"/>
      <c r="I5343"/>
    </row>
    <row r="5344" spans="2:9" ht="15" x14ac:dyDescent="0.25">
      <c r="B5344"/>
      <c r="C5344"/>
      <c r="D5344"/>
      <c r="E5344"/>
      <c r="F5344"/>
      <c r="G5344" s="20"/>
      <c r="H5344"/>
      <c r="I5344"/>
    </row>
    <row r="5345" spans="2:9" ht="15" x14ac:dyDescent="0.25">
      <c r="B5345"/>
      <c r="C5345"/>
      <c r="D5345"/>
      <c r="E5345"/>
      <c r="F5345"/>
      <c r="G5345" s="20"/>
      <c r="H5345"/>
      <c r="I5345"/>
    </row>
    <row r="5346" spans="2:9" ht="15" x14ac:dyDescent="0.25">
      <c r="B5346"/>
      <c r="C5346"/>
      <c r="D5346"/>
      <c r="E5346"/>
      <c r="F5346"/>
      <c r="G5346" s="20"/>
      <c r="H5346"/>
      <c r="I5346"/>
    </row>
    <row r="5347" spans="2:9" ht="15" x14ac:dyDescent="0.25">
      <c r="B5347"/>
      <c r="C5347"/>
      <c r="D5347"/>
      <c r="E5347"/>
      <c r="F5347"/>
      <c r="G5347" s="20"/>
      <c r="H5347"/>
      <c r="I5347"/>
    </row>
    <row r="5348" spans="2:9" ht="15" x14ac:dyDescent="0.25">
      <c r="B5348"/>
      <c r="C5348"/>
      <c r="D5348"/>
      <c r="E5348"/>
      <c r="F5348"/>
      <c r="G5348" s="20"/>
      <c r="H5348"/>
      <c r="I5348"/>
    </row>
    <row r="5349" spans="2:9" ht="15" x14ac:dyDescent="0.25">
      <c r="B5349"/>
      <c r="C5349"/>
      <c r="D5349"/>
      <c r="E5349"/>
      <c r="F5349"/>
      <c r="G5349" s="20"/>
      <c r="H5349"/>
      <c r="I5349"/>
    </row>
    <row r="5350" spans="2:9" ht="15" x14ac:dyDescent="0.25">
      <c r="B5350"/>
      <c r="C5350"/>
      <c r="D5350"/>
      <c r="E5350"/>
      <c r="F5350"/>
      <c r="G5350" s="20"/>
      <c r="H5350"/>
      <c r="I5350"/>
    </row>
    <row r="5351" spans="2:9" ht="15" x14ac:dyDescent="0.25">
      <c r="B5351"/>
      <c r="C5351"/>
      <c r="D5351"/>
      <c r="E5351"/>
      <c r="F5351"/>
      <c r="G5351" s="20"/>
      <c r="H5351"/>
      <c r="I5351"/>
    </row>
    <row r="5352" spans="2:9" ht="15" x14ac:dyDescent="0.25">
      <c r="B5352"/>
      <c r="C5352"/>
      <c r="D5352"/>
      <c r="E5352"/>
      <c r="F5352"/>
      <c r="G5352" s="20"/>
      <c r="H5352"/>
      <c r="I5352"/>
    </row>
    <row r="5353" spans="2:9" ht="15" x14ac:dyDescent="0.25">
      <c r="B5353"/>
      <c r="C5353"/>
      <c r="D5353"/>
      <c r="E5353"/>
      <c r="F5353"/>
      <c r="G5353" s="20"/>
      <c r="H5353"/>
      <c r="I5353"/>
    </row>
    <row r="5354" spans="2:9" ht="15" x14ac:dyDescent="0.25">
      <c r="B5354"/>
      <c r="C5354"/>
      <c r="D5354"/>
      <c r="E5354"/>
      <c r="F5354"/>
      <c r="G5354" s="20"/>
      <c r="H5354"/>
      <c r="I5354"/>
    </row>
    <row r="5355" spans="2:9" ht="15" x14ac:dyDescent="0.25">
      <c r="B5355"/>
      <c r="C5355"/>
      <c r="D5355"/>
      <c r="E5355"/>
      <c r="F5355"/>
      <c r="G5355" s="20"/>
      <c r="H5355"/>
      <c r="I5355"/>
    </row>
    <row r="5356" spans="2:9" ht="15" x14ac:dyDescent="0.25">
      <c r="B5356"/>
      <c r="C5356"/>
      <c r="D5356"/>
      <c r="E5356"/>
      <c r="F5356"/>
      <c r="G5356" s="20"/>
      <c r="H5356"/>
      <c r="I5356"/>
    </row>
    <row r="5357" spans="2:9" ht="15" x14ac:dyDescent="0.25">
      <c r="B5357"/>
      <c r="C5357"/>
      <c r="D5357"/>
      <c r="E5357"/>
      <c r="F5357"/>
      <c r="G5357" s="20"/>
      <c r="H5357"/>
      <c r="I5357"/>
    </row>
    <row r="5358" spans="2:9" ht="15" x14ac:dyDescent="0.25">
      <c r="B5358"/>
      <c r="C5358"/>
      <c r="D5358"/>
      <c r="E5358"/>
      <c r="F5358"/>
      <c r="G5358" s="20"/>
      <c r="H5358"/>
      <c r="I5358"/>
    </row>
    <row r="5359" spans="2:9" ht="15" x14ac:dyDescent="0.25">
      <c r="B5359"/>
      <c r="C5359"/>
      <c r="D5359"/>
      <c r="E5359"/>
      <c r="F5359"/>
      <c r="G5359" s="20"/>
      <c r="H5359"/>
      <c r="I5359"/>
    </row>
    <row r="5360" spans="2:9" ht="15" x14ac:dyDescent="0.25">
      <c r="B5360"/>
      <c r="C5360"/>
      <c r="D5360"/>
      <c r="E5360"/>
      <c r="F5360"/>
      <c r="G5360" s="20"/>
      <c r="H5360"/>
      <c r="I5360"/>
    </row>
    <row r="5361" spans="2:9" ht="15" x14ac:dyDescent="0.25">
      <c r="B5361"/>
      <c r="C5361"/>
      <c r="D5361"/>
      <c r="E5361"/>
      <c r="F5361"/>
      <c r="G5361" s="20"/>
      <c r="H5361"/>
      <c r="I5361"/>
    </row>
    <row r="5362" spans="2:9" ht="15" x14ac:dyDescent="0.25">
      <c r="B5362"/>
      <c r="C5362"/>
      <c r="D5362"/>
      <c r="E5362"/>
      <c r="F5362"/>
      <c r="G5362" s="20"/>
      <c r="H5362"/>
      <c r="I5362"/>
    </row>
    <row r="5363" spans="2:9" ht="15" x14ac:dyDescent="0.25">
      <c r="B5363"/>
      <c r="C5363"/>
      <c r="D5363"/>
      <c r="E5363"/>
      <c r="F5363"/>
      <c r="G5363" s="20"/>
      <c r="H5363"/>
      <c r="I5363"/>
    </row>
    <row r="5364" spans="2:9" ht="15" x14ac:dyDescent="0.25">
      <c r="B5364"/>
      <c r="C5364"/>
      <c r="D5364"/>
      <c r="E5364"/>
      <c r="F5364"/>
      <c r="G5364" s="20"/>
      <c r="H5364"/>
      <c r="I5364"/>
    </row>
    <row r="5365" spans="2:9" ht="15" x14ac:dyDescent="0.25">
      <c r="B5365"/>
      <c r="C5365"/>
      <c r="D5365"/>
      <c r="E5365"/>
      <c r="F5365"/>
      <c r="G5365" s="20"/>
      <c r="H5365"/>
      <c r="I5365"/>
    </row>
    <row r="5366" spans="2:9" ht="15" x14ac:dyDescent="0.25">
      <c r="B5366"/>
      <c r="C5366"/>
      <c r="D5366"/>
      <c r="E5366"/>
      <c r="F5366"/>
      <c r="G5366" s="20"/>
      <c r="H5366"/>
      <c r="I5366"/>
    </row>
    <row r="5367" spans="2:9" ht="15" x14ac:dyDescent="0.25">
      <c r="B5367"/>
      <c r="C5367"/>
      <c r="D5367"/>
      <c r="E5367"/>
      <c r="F5367"/>
      <c r="G5367" s="20"/>
      <c r="H5367"/>
      <c r="I5367"/>
    </row>
    <row r="5368" spans="2:9" ht="15" x14ac:dyDescent="0.25">
      <c r="B5368"/>
      <c r="C5368"/>
      <c r="D5368"/>
      <c r="E5368"/>
      <c r="F5368"/>
      <c r="G5368" s="20"/>
      <c r="H5368"/>
      <c r="I5368"/>
    </row>
    <row r="5369" spans="2:9" ht="15" x14ac:dyDescent="0.25">
      <c r="B5369"/>
      <c r="C5369"/>
      <c r="D5369"/>
      <c r="E5369"/>
      <c r="F5369"/>
      <c r="G5369" s="20"/>
      <c r="H5369"/>
      <c r="I5369"/>
    </row>
    <row r="5370" spans="2:9" ht="15" x14ac:dyDescent="0.25">
      <c r="B5370"/>
      <c r="C5370"/>
      <c r="D5370"/>
      <c r="E5370"/>
      <c r="F5370"/>
      <c r="G5370" s="20"/>
      <c r="H5370"/>
      <c r="I5370"/>
    </row>
    <row r="5371" spans="2:9" ht="15" x14ac:dyDescent="0.25">
      <c r="B5371"/>
      <c r="C5371"/>
      <c r="D5371"/>
      <c r="E5371"/>
      <c r="F5371"/>
      <c r="G5371" s="20"/>
      <c r="H5371"/>
      <c r="I5371"/>
    </row>
    <row r="5372" spans="2:9" ht="15" x14ac:dyDescent="0.25">
      <c r="B5372"/>
      <c r="C5372"/>
      <c r="D5372"/>
      <c r="E5372"/>
      <c r="F5372"/>
      <c r="G5372" s="20"/>
      <c r="H5372"/>
      <c r="I5372"/>
    </row>
    <row r="5373" spans="2:9" ht="15" x14ac:dyDescent="0.25">
      <c r="B5373"/>
      <c r="C5373"/>
      <c r="D5373"/>
      <c r="E5373"/>
      <c r="F5373"/>
      <c r="G5373" s="20"/>
      <c r="H5373"/>
      <c r="I5373"/>
    </row>
    <row r="5374" spans="2:9" ht="15" x14ac:dyDescent="0.25">
      <c r="B5374"/>
      <c r="C5374"/>
      <c r="D5374"/>
      <c r="E5374"/>
      <c r="F5374"/>
      <c r="G5374" s="20"/>
      <c r="H5374"/>
      <c r="I5374"/>
    </row>
    <row r="5375" spans="2:9" ht="15" x14ac:dyDescent="0.25">
      <c r="B5375"/>
      <c r="C5375"/>
      <c r="D5375"/>
      <c r="E5375"/>
      <c r="F5375"/>
      <c r="G5375" s="20"/>
      <c r="H5375"/>
      <c r="I5375"/>
    </row>
    <row r="5376" spans="2:9" ht="15" x14ac:dyDescent="0.25">
      <c r="B5376"/>
      <c r="C5376"/>
      <c r="D5376"/>
      <c r="E5376"/>
      <c r="F5376"/>
      <c r="G5376" s="20"/>
      <c r="H5376"/>
      <c r="I5376"/>
    </row>
    <row r="5377" spans="2:9" ht="15" x14ac:dyDescent="0.25">
      <c r="B5377"/>
      <c r="C5377"/>
      <c r="D5377"/>
      <c r="E5377"/>
      <c r="F5377"/>
      <c r="G5377" s="20"/>
      <c r="H5377"/>
      <c r="I5377"/>
    </row>
    <row r="5378" spans="2:9" ht="15" x14ac:dyDescent="0.25">
      <c r="B5378"/>
      <c r="C5378"/>
      <c r="D5378"/>
      <c r="E5378"/>
      <c r="F5378"/>
      <c r="G5378" s="20"/>
      <c r="H5378"/>
      <c r="I5378"/>
    </row>
    <row r="5379" spans="2:9" ht="15" x14ac:dyDescent="0.25">
      <c r="B5379"/>
      <c r="C5379"/>
      <c r="D5379"/>
      <c r="E5379"/>
      <c r="F5379"/>
      <c r="G5379" s="20"/>
      <c r="H5379"/>
      <c r="I5379"/>
    </row>
    <row r="5380" spans="2:9" ht="15" x14ac:dyDescent="0.25">
      <c r="B5380"/>
      <c r="C5380"/>
      <c r="D5380"/>
      <c r="E5380"/>
      <c r="F5380"/>
      <c r="G5380" s="20"/>
      <c r="H5380"/>
      <c r="I5380"/>
    </row>
    <row r="5381" spans="2:9" ht="15" x14ac:dyDescent="0.25">
      <c r="B5381"/>
      <c r="C5381"/>
      <c r="D5381"/>
      <c r="E5381"/>
      <c r="F5381"/>
      <c r="G5381" s="20"/>
      <c r="H5381"/>
      <c r="I5381"/>
    </row>
    <row r="5382" spans="2:9" ht="15" x14ac:dyDescent="0.25">
      <c r="B5382"/>
      <c r="C5382"/>
      <c r="D5382"/>
      <c r="E5382"/>
      <c r="F5382"/>
      <c r="G5382" s="20"/>
      <c r="H5382"/>
      <c r="I5382"/>
    </row>
    <row r="5383" spans="2:9" ht="15" x14ac:dyDescent="0.25">
      <c r="B5383"/>
      <c r="C5383"/>
      <c r="D5383"/>
      <c r="E5383"/>
      <c r="F5383"/>
      <c r="G5383" s="20"/>
      <c r="H5383"/>
      <c r="I5383"/>
    </row>
    <row r="5384" spans="2:9" ht="15" x14ac:dyDescent="0.25">
      <c r="B5384"/>
      <c r="C5384"/>
      <c r="D5384"/>
      <c r="E5384"/>
      <c r="F5384"/>
      <c r="G5384" s="20"/>
      <c r="H5384"/>
      <c r="I5384"/>
    </row>
    <row r="5385" spans="2:9" ht="15" x14ac:dyDescent="0.25">
      <c r="B5385"/>
      <c r="C5385"/>
      <c r="D5385"/>
      <c r="E5385"/>
      <c r="F5385"/>
      <c r="G5385" s="20"/>
      <c r="H5385"/>
      <c r="I5385"/>
    </row>
    <row r="5386" spans="2:9" ht="15" x14ac:dyDescent="0.25">
      <c r="B5386"/>
      <c r="C5386"/>
      <c r="D5386"/>
      <c r="E5386"/>
      <c r="F5386"/>
      <c r="G5386" s="20"/>
      <c r="H5386"/>
      <c r="I5386"/>
    </row>
    <row r="5387" spans="2:9" ht="15" x14ac:dyDescent="0.25">
      <c r="B5387"/>
      <c r="C5387"/>
      <c r="D5387"/>
      <c r="E5387"/>
      <c r="F5387"/>
      <c r="G5387" s="20"/>
      <c r="H5387"/>
      <c r="I5387"/>
    </row>
    <row r="5388" spans="2:9" ht="15" x14ac:dyDescent="0.25">
      <c r="B5388"/>
      <c r="C5388"/>
      <c r="D5388"/>
      <c r="E5388"/>
      <c r="F5388"/>
      <c r="G5388" s="20"/>
      <c r="H5388"/>
      <c r="I5388"/>
    </row>
    <row r="5389" spans="2:9" ht="15" x14ac:dyDescent="0.25">
      <c r="B5389"/>
      <c r="C5389"/>
      <c r="D5389"/>
      <c r="E5389"/>
      <c r="F5389"/>
      <c r="G5389" s="20"/>
      <c r="H5389"/>
      <c r="I5389"/>
    </row>
    <row r="5390" spans="2:9" ht="15" x14ac:dyDescent="0.25">
      <c r="B5390"/>
      <c r="C5390"/>
      <c r="D5390"/>
      <c r="E5390"/>
      <c r="F5390"/>
      <c r="G5390" s="20"/>
      <c r="H5390"/>
      <c r="I5390"/>
    </row>
    <row r="5391" spans="2:9" ht="15" x14ac:dyDescent="0.25">
      <c r="B5391"/>
      <c r="C5391"/>
      <c r="D5391"/>
      <c r="E5391"/>
      <c r="F5391"/>
      <c r="G5391" s="20"/>
      <c r="H5391"/>
      <c r="I5391"/>
    </row>
    <row r="5392" spans="2:9" ht="15" x14ac:dyDescent="0.25">
      <c r="B5392"/>
      <c r="C5392"/>
      <c r="D5392"/>
      <c r="E5392"/>
      <c r="F5392"/>
      <c r="G5392" s="20"/>
      <c r="H5392"/>
      <c r="I5392"/>
    </row>
    <row r="5393" spans="2:9" ht="15" x14ac:dyDescent="0.25">
      <c r="B5393"/>
      <c r="C5393"/>
      <c r="D5393"/>
      <c r="E5393"/>
      <c r="F5393"/>
      <c r="G5393" s="20"/>
      <c r="H5393"/>
      <c r="I5393"/>
    </row>
    <row r="5394" spans="2:9" ht="15" x14ac:dyDescent="0.25">
      <c r="B5394"/>
      <c r="C5394"/>
      <c r="D5394"/>
      <c r="E5394"/>
      <c r="F5394"/>
      <c r="G5394" s="20"/>
      <c r="H5394"/>
      <c r="I5394"/>
    </row>
    <row r="5395" spans="2:9" ht="15" x14ac:dyDescent="0.25">
      <c r="B5395"/>
      <c r="C5395"/>
      <c r="D5395"/>
      <c r="E5395"/>
      <c r="F5395"/>
      <c r="G5395" s="20"/>
      <c r="H5395"/>
      <c r="I5395"/>
    </row>
    <row r="5396" spans="2:9" ht="15" x14ac:dyDescent="0.25">
      <c r="B5396"/>
      <c r="C5396"/>
      <c r="D5396"/>
      <c r="E5396"/>
      <c r="F5396"/>
      <c r="G5396" s="20"/>
      <c r="H5396"/>
      <c r="I5396"/>
    </row>
    <row r="5397" spans="2:9" ht="15" x14ac:dyDescent="0.25">
      <c r="B5397"/>
      <c r="C5397"/>
      <c r="D5397"/>
      <c r="E5397"/>
      <c r="F5397"/>
      <c r="G5397" s="20"/>
      <c r="H5397"/>
      <c r="I5397"/>
    </row>
    <row r="5398" spans="2:9" ht="15" x14ac:dyDescent="0.25">
      <c r="B5398"/>
      <c r="C5398"/>
      <c r="D5398"/>
      <c r="E5398"/>
      <c r="F5398"/>
      <c r="G5398" s="20"/>
      <c r="H5398"/>
      <c r="I5398"/>
    </row>
    <row r="5399" spans="2:9" ht="15" x14ac:dyDescent="0.25">
      <c r="B5399"/>
      <c r="C5399"/>
      <c r="D5399"/>
      <c r="E5399"/>
      <c r="F5399"/>
      <c r="G5399" s="20"/>
      <c r="H5399"/>
      <c r="I5399"/>
    </row>
    <row r="5400" spans="2:9" ht="15" x14ac:dyDescent="0.25">
      <c r="B5400"/>
      <c r="C5400"/>
      <c r="D5400"/>
      <c r="E5400"/>
      <c r="F5400"/>
      <c r="G5400" s="20"/>
      <c r="H5400"/>
      <c r="I5400"/>
    </row>
    <row r="5401" spans="2:9" ht="15" x14ac:dyDescent="0.25">
      <c r="B5401"/>
      <c r="C5401"/>
      <c r="D5401"/>
      <c r="E5401"/>
      <c r="F5401"/>
      <c r="G5401" s="20"/>
      <c r="H5401"/>
      <c r="I5401"/>
    </row>
    <row r="5402" spans="2:9" ht="15" x14ac:dyDescent="0.25">
      <c r="B5402"/>
      <c r="C5402"/>
      <c r="D5402"/>
      <c r="E5402"/>
      <c r="F5402"/>
      <c r="G5402" s="20"/>
      <c r="H5402"/>
      <c r="I5402"/>
    </row>
    <row r="5403" spans="2:9" ht="15" x14ac:dyDescent="0.25">
      <c r="B5403"/>
      <c r="C5403"/>
      <c r="D5403"/>
      <c r="E5403"/>
      <c r="F5403"/>
      <c r="G5403" s="20"/>
      <c r="H5403"/>
      <c r="I5403"/>
    </row>
    <row r="5404" spans="2:9" ht="15" x14ac:dyDescent="0.25">
      <c r="B5404"/>
      <c r="C5404"/>
      <c r="D5404"/>
      <c r="E5404"/>
      <c r="F5404"/>
      <c r="G5404" s="20"/>
      <c r="H5404"/>
      <c r="I5404"/>
    </row>
    <row r="5405" spans="2:9" ht="15" x14ac:dyDescent="0.25">
      <c r="B5405"/>
      <c r="C5405"/>
      <c r="D5405"/>
      <c r="E5405"/>
      <c r="F5405"/>
      <c r="G5405" s="20"/>
      <c r="H5405"/>
      <c r="I5405"/>
    </row>
    <row r="5406" spans="2:9" ht="15" x14ac:dyDescent="0.25">
      <c r="B5406"/>
      <c r="C5406"/>
      <c r="D5406"/>
      <c r="E5406"/>
      <c r="F5406"/>
      <c r="G5406" s="20"/>
      <c r="H5406"/>
      <c r="I5406"/>
    </row>
    <row r="5407" spans="2:9" ht="15" x14ac:dyDescent="0.25">
      <c r="B5407"/>
      <c r="C5407"/>
      <c r="D5407"/>
      <c r="E5407"/>
      <c r="F5407"/>
      <c r="G5407" s="20"/>
      <c r="H5407"/>
      <c r="I5407"/>
    </row>
    <row r="5408" spans="2:9" ht="15" x14ac:dyDescent="0.25">
      <c r="B5408"/>
      <c r="C5408"/>
      <c r="D5408"/>
      <c r="E5408"/>
      <c r="F5408"/>
      <c r="G5408" s="20"/>
      <c r="H5408"/>
      <c r="I5408"/>
    </row>
    <row r="5409" spans="2:9" ht="15" x14ac:dyDescent="0.25">
      <c r="B5409"/>
      <c r="C5409"/>
      <c r="D5409"/>
      <c r="E5409"/>
      <c r="F5409"/>
      <c r="G5409" s="20"/>
      <c r="H5409"/>
      <c r="I5409"/>
    </row>
    <row r="5410" spans="2:9" ht="15" x14ac:dyDescent="0.25">
      <c r="B5410"/>
      <c r="C5410"/>
      <c r="D5410"/>
      <c r="E5410"/>
      <c r="F5410"/>
      <c r="G5410" s="20"/>
      <c r="H5410"/>
      <c r="I5410"/>
    </row>
    <row r="5411" spans="2:9" ht="15" x14ac:dyDescent="0.25">
      <c r="B5411"/>
      <c r="C5411"/>
      <c r="D5411"/>
      <c r="E5411"/>
      <c r="F5411"/>
      <c r="G5411" s="20"/>
      <c r="H5411"/>
      <c r="I5411"/>
    </row>
    <row r="5412" spans="2:9" ht="15" x14ac:dyDescent="0.25">
      <c r="B5412"/>
      <c r="C5412"/>
      <c r="D5412"/>
      <c r="E5412"/>
      <c r="F5412"/>
      <c r="G5412" s="20"/>
      <c r="H5412"/>
      <c r="I5412"/>
    </row>
    <row r="5413" spans="2:9" ht="15" x14ac:dyDescent="0.25">
      <c r="B5413"/>
      <c r="C5413"/>
      <c r="D5413"/>
      <c r="E5413"/>
      <c r="F5413"/>
      <c r="G5413" s="20"/>
      <c r="H5413"/>
      <c r="I5413"/>
    </row>
    <row r="5414" spans="2:9" ht="15" x14ac:dyDescent="0.25">
      <c r="B5414"/>
      <c r="C5414"/>
      <c r="D5414"/>
      <c r="E5414"/>
      <c r="F5414"/>
      <c r="G5414" s="20"/>
      <c r="H5414"/>
      <c r="I5414"/>
    </row>
    <row r="5415" spans="2:9" ht="15" x14ac:dyDescent="0.25">
      <c r="B5415"/>
      <c r="C5415"/>
      <c r="D5415"/>
      <c r="E5415"/>
      <c r="F5415"/>
      <c r="G5415" s="20"/>
      <c r="H5415"/>
      <c r="I5415"/>
    </row>
    <row r="5416" spans="2:9" ht="15" x14ac:dyDescent="0.25">
      <c r="B5416"/>
      <c r="C5416"/>
      <c r="D5416"/>
      <c r="E5416"/>
      <c r="F5416"/>
      <c r="G5416" s="20"/>
      <c r="H5416"/>
      <c r="I5416"/>
    </row>
    <row r="5417" spans="2:9" ht="15" x14ac:dyDescent="0.25">
      <c r="B5417"/>
      <c r="C5417"/>
      <c r="D5417"/>
      <c r="E5417"/>
      <c r="F5417"/>
      <c r="G5417" s="20"/>
      <c r="H5417"/>
      <c r="I5417"/>
    </row>
    <row r="5418" spans="2:9" ht="15" x14ac:dyDescent="0.25">
      <c r="B5418"/>
      <c r="C5418"/>
      <c r="D5418"/>
      <c r="E5418"/>
      <c r="F5418"/>
      <c r="G5418" s="20"/>
      <c r="H5418"/>
      <c r="I5418"/>
    </row>
    <row r="5419" spans="2:9" ht="15" x14ac:dyDescent="0.25">
      <c r="B5419"/>
      <c r="C5419"/>
      <c r="D5419"/>
      <c r="E5419"/>
      <c r="F5419"/>
      <c r="G5419" s="20"/>
      <c r="H5419"/>
      <c r="I5419"/>
    </row>
    <row r="5420" spans="2:9" ht="15" x14ac:dyDescent="0.25">
      <c r="B5420"/>
      <c r="C5420"/>
      <c r="D5420"/>
      <c r="E5420"/>
      <c r="F5420"/>
      <c r="G5420" s="20"/>
      <c r="H5420"/>
      <c r="I5420"/>
    </row>
    <row r="5421" spans="2:9" ht="15" x14ac:dyDescent="0.25">
      <c r="B5421"/>
      <c r="C5421"/>
      <c r="D5421"/>
      <c r="E5421"/>
      <c r="F5421"/>
      <c r="G5421" s="20"/>
      <c r="H5421"/>
      <c r="I5421"/>
    </row>
    <row r="5422" spans="2:9" ht="15" x14ac:dyDescent="0.25">
      <c r="B5422"/>
      <c r="C5422"/>
      <c r="D5422"/>
      <c r="E5422"/>
      <c r="F5422"/>
      <c r="G5422" s="20"/>
      <c r="H5422"/>
      <c r="I5422"/>
    </row>
    <row r="5423" spans="2:9" ht="15" x14ac:dyDescent="0.25">
      <c r="B5423"/>
      <c r="C5423"/>
      <c r="D5423"/>
      <c r="E5423"/>
      <c r="F5423"/>
      <c r="G5423" s="20"/>
      <c r="H5423"/>
      <c r="I5423"/>
    </row>
    <row r="5424" spans="2:9" ht="15" x14ac:dyDescent="0.25">
      <c r="B5424"/>
      <c r="C5424"/>
      <c r="D5424"/>
      <c r="E5424"/>
      <c r="F5424"/>
      <c r="G5424" s="20"/>
      <c r="H5424"/>
      <c r="I5424"/>
    </row>
    <row r="5425" spans="2:9" ht="15" x14ac:dyDescent="0.25">
      <c r="B5425"/>
      <c r="C5425"/>
      <c r="D5425"/>
      <c r="E5425"/>
      <c r="F5425"/>
      <c r="G5425" s="20"/>
      <c r="H5425"/>
      <c r="I5425"/>
    </row>
    <row r="5426" spans="2:9" ht="15" x14ac:dyDescent="0.25">
      <c r="B5426"/>
      <c r="C5426"/>
      <c r="D5426"/>
      <c r="E5426"/>
      <c r="F5426"/>
      <c r="G5426" s="20"/>
      <c r="H5426"/>
      <c r="I5426"/>
    </row>
    <row r="5427" spans="2:9" ht="15" x14ac:dyDescent="0.25">
      <c r="B5427"/>
      <c r="C5427"/>
      <c r="D5427"/>
      <c r="E5427"/>
      <c r="F5427"/>
      <c r="G5427" s="20"/>
      <c r="H5427"/>
      <c r="I5427"/>
    </row>
    <row r="5428" spans="2:9" ht="15" x14ac:dyDescent="0.25">
      <c r="B5428"/>
      <c r="C5428"/>
      <c r="D5428"/>
      <c r="E5428"/>
      <c r="F5428"/>
      <c r="G5428" s="20"/>
      <c r="H5428"/>
      <c r="I5428"/>
    </row>
    <row r="5429" spans="2:9" ht="15" x14ac:dyDescent="0.25">
      <c r="B5429"/>
      <c r="C5429"/>
      <c r="D5429"/>
      <c r="E5429"/>
      <c r="F5429"/>
      <c r="G5429" s="20"/>
      <c r="H5429"/>
      <c r="I5429"/>
    </row>
    <row r="5430" spans="2:9" ht="15" x14ac:dyDescent="0.25">
      <c r="B5430"/>
      <c r="C5430"/>
      <c r="D5430"/>
      <c r="E5430"/>
      <c r="F5430"/>
      <c r="G5430" s="20"/>
      <c r="H5430"/>
      <c r="I5430"/>
    </row>
    <row r="5431" spans="2:9" ht="15" x14ac:dyDescent="0.25">
      <c r="B5431"/>
      <c r="C5431"/>
      <c r="D5431"/>
      <c r="E5431"/>
      <c r="F5431"/>
      <c r="G5431" s="20"/>
      <c r="H5431"/>
      <c r="I5431"/>
    </row>
    <row r="5432" spans="2:9" ht="15" x14ac:dyDescent="0.25">
      <c r="B5432"/>
      <c r="C5432"/>
      <c r="D5432"/>
      <c r="E5432"/>
      <c r="F5432"/>
      <c r="G5432" s="20"/>
      <c r="H5432"/>
      <c r="I5432"/>
    </row>
    <row r="5433" spans="2:9" ht="15" x14ac:dyDescent="0.25">
      <c r="B5433"/>
      <c r="C5433"/>
      <c r="D5433"/>
      <c r="E5433"/>
      <c r="F5433"/>
      <c r="G5433" s="20"/>
      <c r="H5433"/>
      <c r="I5433"/>
    </row>
    <row r="5434" spans="2:9" ht="15" x14ac:dyDescent="0.25">
      <c r="B5434"/>
      <c r="C5434"/>
      <c r="D5434"/>
      <c r="E5434"/>
      <c r="F5434"/>
      <c r="G5434" s="20"/>
      <c r="H5434"/>
      <c r="I5434"/>
    </row>
    <row r="5435" spans="2:9" ht="15" x14ac:dyDescent="0.25">
      <c r="B5435"/>
      <c r="C5435"/>
      <c r="D5435"/>
      <c r="E5435"/>
      <c r="F5435"/>
      <c r="G5435" s="20"/>
      <c r="H5435"/>
      <c r="I5435"/>
    </row>
    <row r="5436" spans="2:9" ht="15" x14ac:dyDescent="0.25">
      <c r="B5436"/>
      <c r="C5436"/>
      <c r="D5436"/>
      <c r="E5436"/>
      <c r="F5436"/>
      <c r="G5436" s="20"/>
      <c r="H5436"/>
      <c r="I5436"/>
    </row>
    <row r="5437" spans="2:9" ht="15" x14ac:dyDescent="0.25">
      <c r="B5437"/>
      <c r="C5437"/>
      <c r="D5437"/>
      <c r="E5437"/>
      <c r="F5437"/>
      <c r="G5437" s="20"/>
      <c r="H5437"/>
      <c r="I5437"/>
    </row>
    <row r="5438" spans="2:9" ht="15" x14ac:dyDescent="0.25">
      <c r="B5438"/>
      <c r="C5438"/>
      <c r="D5438"/>
      <c r="E5438"/>
      <c r="F5438"/>
      <c r="G5438" s="20"/>
      <c r="H5438"/>
      <c r="I5438"/>
    </row>
    <row r="5439" spans="2:9" ht="15" x14ac:dyDescent="0.25">
      <c r="B5439"/>
      <c r="C5439"/>
      <c r="D5439"/>
      <c r="E5439"/>
      <c r="F5439"/>
      <c r="G5439" s="20"/>
      <c r="H5439"/>
      <c r="I5439"/>
    </row>
    <row r="5440" spans="2:9" ht="15" x14ac:dyDescent="0.25">
      <c r="B5440"/>
      <c r="C5440"/>
      <c r="D5440"/>
      <c r="E5440"/>
      <c r="F5440"/>
      <c r="G5440" s="20"/>
      <c r="H5440"/>
      <c r="I5440"/>
    </row>
    <row r="5441" spans="2:9" ht="15" x14ac:dyDescent="0.25">
      <c r="B5441"/>
      <c r="C5441"/>
      <c r="D5441"/>
      <c r="E5441"/>
      <c r="F5441"/>
      <c r="G5441" s="20"/>
      <c r="H5441"/>
      <c r="I5441"/>
    </row>
    <row r="5442" spans="2:9" ht="15" x14ac:dyDescent="0.25">
      <c r="B5442"/>
      <c r="C5442"/>
      <c r="D5442"/>
      <c r="E5442"/>
      <c r="F5442"/>
      <c r="G5442" s="20"/>
      <c r="H5442"/>
      <c r="I5442"/>
    </row>
    <row r="5443" spans="2:9" ht="15" x14ac:dyDescent="0.25">
      <c r="B5443"/>
      <c r="C5443"/>
      <c r="D5443"/>
      <c r="E5443"/>
      <c r="F5443"/>
      <c r="G5443" s="20"/>
      <c r="H5443"/>
      <c r="I5443"/>
    </row>
    <row r="5444" spans="2:9" ht="15" x14ac:dyDescent="0.25">
      <c r="B5444"/>
      <c r="C5444"/>
      <c r="D5444"/>
      <c r="E5444"/>
      <c r="F5444"/>
      <c r="G5444" s="20"/>
      <c r="H5444"/>
      <c r="I5444"/>
    </row>
    <row r="5445" spans="2:9" ht="15" x14ac:dyDescent="0.25">
      <c r="B5445"/>
      <c r="C5445"/>
      <c r="D5445"/>
      <c r="E5445"/>
      <c r="F5445"/>
      <c r="G5445" s="20"/>
      <c r="H5445"/>
      <c r="I5445"/>
    </row>
    <row r="5446" spans="2:9" ht="15" x14ac:dyDescent="0.25">
      <c r="B5446"/>
      <c r="C5446"/>
      <c r="D5446"/>
      <c r="E5446"/>
      <c r="F5446"/>
      <c r="G5446" s="20"/>
      <c r="H5446"/>
      <c r="I5446"/>
    </row>
    <row r="5447" spans="2:9" ht="15" x14ac:dyDescent="0.25">
      <c r="B5447"/>
      <c r="C5447"/>
      <c r="D5447"/>
      <c r="E5447"/>
      <c r="F5447"/>
      <c r="G5447" s="20"/>
      <c r="H5447"/>
      <c r="I5447"/>
    </row>
    <row r="5448" spans="2:9" ht="15" x14ac:dyDescent="0.25">
      <c r="B5448"/>
      <c r="C5448"/>
      <c r="D5448"/>
      <c r="E5448"/>
      <c r="F5448"/>
      <c r="G5448" s="20"/>
      <c r="H5448"/>
      <c r="I5448"/>
    </row>
    <row r="5449" spans="2:9" ht="15" x14ac:dyDescent="0.25">
      <c r="B5449"/>
      <c r="C5449"/>
      <c r="D5449"/>
      <c r="E5449"/>
      <c r="F5449"/>
      <c r="G5449" s="20"/>
      <c r="H5449"/>
      <c r="I5449"/>
    </row>
    <row r="5450" spans="2:9" ht="15" x14ac:dyDescent="0.25">
      <c r="B5450"/>
      <c r="C5450"/>
      <c r="D5450"/>
      <c r="E5450"/>
      <c r="F5450"/>
      <c r="G5450" s="20"/>
      <c r="H5450"/>
      <c r="I5450"/>
    </row>
    <row r="5451" spans="2:9" ht="15" x14ac:dyDescent="0.25">
      <c r="B5451"/>
      <c r="C5451"/>
      <c r="D5451"/>
      <c r="E5451"/>
      <c r="F5451"/>
      <c r="G5451" s="20"/>
      <c r="H5451"/>
      <c r="I5451"/>
    </row>
    <row r="5452" spans="2:9" ht="15" x14ac:dyDescent="0.25">
      <c r="B5452"/>
      <c r="C5452"/>
      <c r="D5452"/>
      <c r="E5452"/>
      <c r="F5452"/>
      <c r="G5452" s="20"/>
      <c r="H5452"/>
      <c r="I5452"/>
    </row>
    <row r="5453" spans="2:9" ht="15" x14ac:dyDescent="0.25">
      <c r="B5453"/>
      <c r="C5453"/>
      <c r="D5453"/>
      <c r="E5453"/>
      <c r="F5453"/>
      <c r="G5453" s="20"/>
      <c r="H5453"/>
      <c r="I5453"/>
    </row>
    <row r="5454" spans="2:9" ht="15" x14ac:dyDescent="0.25">
      <c r="B5454"/>
      <c r="C5454"/>
      <c r="D5454"/>
      <c r="E5454"/>
      <c r="F5454"/>
      <c r="G5454" s="20"/>
      <c r="H5454"/>
      <c r="I5454"/>
    </row>
    <row r="5455" spans="2:9" ht="15" x14ac:dyDescent="0.25">
      <c r="B5455"/>
      <c r="C5455"/>
      <c r="D5455"/>
      <c r="E5455"/>
      <c r="F5455"/>
      <c r="G5455" s="20"/>
      <c r="H5455"/>
      <c r="I5455"/>
    </row>
    <row r="5456" spans="2:9" ht="15" x14ac:dyDescent="0.25">
      <c r="B5456"/>
      <c r="C5456"/>
      <c r="D5456"/>
      <c r="E5456"/>
      <c r="F5456"/>
      <c r="G5456" s="20"/>
      <c r="H5456"/>
      <c r="I5456"/>
    </row>
    <row r="5457" spans="2:9" ht="15" x14ac:dyDescent="0.25">
      <c r="B5457"/>
      <c r="C5457"/>
      <c r="D5457"/>
      <c r="E5457"/>
      <c r="F5457"/>
      <c r="G5457" s="20"/>
      <c r="H5457"/>
      <c r="I5457"/>
    </row>
    <row r="5458" spans="2:9" ht="15" x14ac:dyDescent="0.25">
      <c r="B5458"/>
      <c r="C5458"/>
      <c r="D5458"/>
      <c r="E5458"/>
      <c r="F5458"/>
      <c r="G5458" s="20"/>
      <c r="H5458"/>
      <c r="I5458"/>
    </row>
    <row r="5459" spans="2:9" ht="15" x14ac:dyDescent="0.25">
      <c r="B5459"/>
      <c r="C5459"/>
      <c r="D5459"/>
      <c r="E5459"/>
      <c r="F5459"/>
      <c r="G5459" s="20"/>
      <c r="H5459"/>
      <c r="I5459"/>
    </row>
    <row r="5460" spans="2:9" ht="15" x14ac:dyDescent="0.25">
      <c r="B5460"/>
      <c r="C5460"/>
      <c r="D5460"/>
      <c r="E5460"/>
      <c r="F5460"/>
      <c r="G5460" s="20"/>
      <c r="H5460"/>
      <c r="I5460"/>
    </row>
    <row r="5461" spans="2:9" ht="15" x14ac:dyDescent="0.25">
      <c r="B5461"/>
      <c r="C5461"/>
      <c r="D5461"/>
      <c r="E5461"/>
      <c r="F5461"/>
      <c r="G5461" s="20"/>
      <c r="H5461"/>
      <c r="I5461"/>
    </row>
    <row r="5462" spans="2:9" ht="15" x14ac:dyDescent="0.25">
      <c r="B5462"/>
      <c r="C5462"/>
      <c r="D5462"/>
      <c r="E5462"/>
      <c r="F5462"/>
      <c r="G5462" s="20"/>
      <c r="H5462"/>
      <c r="I5462"/>
    </row>
    <row r="5463" spans="2:9" ht="15" x14ac:dyDescent="0.25">
      <c r="B5463"/>
      <c r="C5463"/>
      <c r="D5463"/>
      <c r="E5463"/>
      <c r="F5463"/>
      <c r="G5463" s="20"/>
      <c r="H5463"/>
      <c r="I5463"/>
    </row>
    <row r="5464" spans="2:9" ht="15" x14ac:dyDescent="0.25">
      <c r="B5464"/>
      <c r="C5464"/>
      <c r="D5464"/>
      <c r="E5464"/>
      <c r="F5464"/>
      <c r="G5464" s="20"/>
      <c r="H5464"/>
      <c r="I5464"/>
    </row>
    <row r="5465" spans="2:9" ht="15" x14ac:dyDescent="0.25">
      <c r="B5465"/>
      <c r="C5465"/>
      <c r="D5465"/>
      <c r="E5465"/>
      <c r="F5465"/>
      <c r="G5465" s="20"/>
      <c r="H5465"/>
      <c r="I5465"/>
    </row>
    <row r="5466" spans="2:9" ht="15" x14ac:dyDescent="0.25">
      <c r="B5466"/>
      <c r="C5466"/>
      <c r="D5466"/>
      <c r="E5466"/>
      <c r="F5466"/>
      <c r="G5466" s="20"/>
      <c r="H5466"/>
      <c r="I5466"/>
    </row>
    <row r="5467" spans="2:9" ht="15" x14ac:dyDescent="0.25">
      <c r="B5467"/>
      <c r="C5467"/>
      <c r="D5467"/>
      <c r="E5467"/>
      <c r="F5467"/>
      <c r="G5467" s="20"/>
      <c r="H5467"/>
      <c r="I5467"/>
    </row>
    <row r="5468" spans="2:9" ht="15" x14ac:dyDescent="0.25">
      <c r="B5468"/>
      <c r="C5468"/>
      <c r="D5468"/>
      <c r="E5468"/>
      <c r="F5468"/>
      <c r="G5468" s="20"/>
      <c r="H5468"/>
      <c r="I5468"/>
    </row>
    <row r="5469" spans="2:9" ht="15" x14ac:dyDescent="0.25">
      <c r="B5469"/>
      <c r="C5469"/>
      <c r="D5469"/>
      <c r="E5469"/>
      <c r="F5469"/>
      <c r="G5469" s="20"/>
      <c r="H5469"/>
      <c r="I5469"/>
    </row>
    <row r="5470" spans="2:9" ht="15" x14ac:dyDescent="0.25">
      <c r="B5470"/>
      <c r="C5470"/>
      <c r="D5470"/>
      <c r="E5470"/>
      <c r="F5470"/>
      <c r="G5470" s="20"/>
      <c r="H5470"/>
      <c r="I5470"/>
    </row>
    <row r="5471" spans="2:9" ht="15" x14ac:dyDescent="0.25">
      <c r="B5471"/>
      <c r="C5471"/>
      <c r="D5471"/>
      <c r="E5471"/>
      <c r="F5471"/>
      <c r="G5471" s="20"/>
      <c r="H5471"/>
      <c r="I5471"/>
    </row>
    <row r="5472" spans="2:9" ht="15" x14ac:dyDescent="0.25">
      <c r="B5472"/>
      <c r="C5472"/>
      <c r="D5472"/>
      <c r="E5472"/>
      <c r="F5472"/>
      <c r="G5472" s="20"/>
      <c r="H5472"/>
      <c r="I5472"/>
    </row>
    <row r="5473" spans="2:9" ht="15" x14ac:dyDescent="0.25">
      <c r="B5473"/>
      <c r="C5473"/>
      <c r="D5473"/>
      <c r="E5473"/>
      <c r="F5473"/>
      <c r="G5473" s="20"/>
      <c r="H5473"/>
      <c r="I5473"/>
    </row>
    <row r="5474" spans="2:9" ht="15" x14ac:dyDescent="0.25">
      <c r="B5474"/>
      <c r="C5474"/>
      <c r="D5474"/>
      <c r="E5474"/>
      <c r="F5474"/>
      <c r="G5474" s="20"/>
      <c r="H5474"/>
      <c r="I5474"/>
    </row>
    <row r="5475" spans="2:9" ht="15" x14ac:dyDescent="0.25">
      <c r="B5475"/>
      <c r="C5475"/>
      <c r="D5475"/>
      <c r="E5475"/>
      <c r="F5475"/>
      <c r="G5475" s="20"/>
      <c r="H5475"/>
      <c r="I5475"/>
    </row>
    <row r="5476" spans="2:9" ht="15" x14ac:dyDescent="0.25">
      <c r="B5476"/>
      <c r="C5476"/>
      <c r="D5476"/>
      <c r="E5476"/>
      <c r="F5476"/>
      <c r="G5476" s="20"/>
      <c r="H5476"/>
      <c r="I5476"/>
    </row>
    <row r="5477" spans="2:9" ht="15" x14ac:dyDescent="0.25">
      <c r="B5477"/>
      <c r="C5477"/>
      <c r="D5477"/>
      <c r="E5477"/>
      <c r="F5477"/>
      <c r="G5477" s="20"/>
      <c r="H5477"/>
      <c r="I5477"/>
    </row>
    <row r="5478" spans="2:9" ht="15" x14ac:dyDescent="0.25">
      <c r="B5478"/>
      <c r="C5478"/>
      <c r="D5478"/>
      <c r="E5478"/>
      <c r="F5478"/>
      <c r="G5478" s="20"/>
      <c r="H5478"/>
      <c r="I5478"/>
    </row>
    <row r="5479" spans="2:9" ht="15" x14ac:dyDescent="0.25">
      <c r="B5479"/>
      <c r="C5479"/>
      <c r="D5479"/>
      <c r="E5479"/>
      <c r="F5479"/>
      <c r="G5479" s="20"/>
      <c r="H5479"/>
      <c r="I5479"/>
    </row>
    <row r="5480" spans="2:9" ht="15" x14ac:dyDescent="0.25">
      <c r="B5480"/>
      <c r="C5480"/>
      <c r="D5480"/>
      <c r="E5480"/>
      <c r="F5480"/>
      <c r="G5480" s="20"/>
      <c r="H5480"/>
      <c r="I5480"/>
    </row>
    <row r="5481" spans="2:9" ht="15" x14ac:dyDescent="0.25">
      <c r="B5481"/>
      <c r="C5481"/>
      <c r="D5481"/>
      <c r="E5481"/>
      <c r="F5481"/>
      <c r="G5481" s="20"/>
      <c r="H5481"/>
      <c r="I5481"/>
    </row>
    <row r="5482" spans="2:9" ht="15" x14ac:dyDescent="0.25">
      <c r="B5482"/>
      <c r="C5482"/>
      <c r="D5482"/>
      <c r="E5482"/>
      <c r="F5482"/>
      <c r="G5482" s="20"/>
      <c r="H5482"/>
      <c r="I5482"/>
    </row>
    <row r="5483" spans="2:9" ht="15" x14ac:dyDescent="0.25">
      <c r="B5483"/>
      <c r="C5483"/>
      <c r="D5483"/>
      <c r="E5483"/>
      <c r="F5483"/>
      <c r="G5483" s="20"/>
      <c r="H5483"/>
      <c r="I5483"/>
    </row>
    <row r="5484" spans="2:9" ht="15" x14ac:dyDescent="0.25">
      <c r="B5484"/>
      <c r="C5484"/>
      <c r="D5484"/>
      <c r="E5484"/>
      <c r="F5484"/>
      <c r="G5484" s="20"/>
      <c r="H5484"/>
      <c r="I5484"/>
    </row>
    <row r="5485" spans="2:9" ht="15" x14ac:dyDescent="0.25">
      <c r="B5485"/>
      <c r="C5485"/>
      <c r="D5485"/>
      <c r="E5485"/>
      <c r="F5485"/>
      <c r="G5485" s="20"/>
      <c r="H5485"/>
      <c r="I5485"/>
    </row>
    <row r="5486" spans="2:9" ht="15" x14ac:dyDescent="0.25">
      <c r="B5486"/>
      <c r="C5486"/>
      <c r="D5486"/>
      <c r="E5486"/>
      <c r="F5486"/>
      <c r="G5486" s="20"/>
      <c r="H5486"/>
      <c r="I5486"/>
    </row>
    <row r="5487" spans="2:9" ht="15" x14ac:dyDescent="0.25">
      <c r="B5487"/>
      <c r="C5487"/>
      <c r="D5487"/>
      <c r="E5487"/>
      <c r="F5487"/>
      <c r="G5487" s="20"/>
      <c r="H5487"/>
      <c r="I5487"/>
    </row>
    <row r="5488" spans="2:9" ht="15" x14ac:dyDescent="0.25">
      <c r="B5488"/>
      <c r="C5488"/>
      <c r="D5488"/>
      <c r="E5488"/>
      <c r="F5488"/>
      <c r="G5488" s="20"/>
      <c r="H5488"/>
      <c r="I5488"/>
    </row>
    <row r="5489" spans="2:9" ht="15" x14ac:dyDescent="0.25">
      <c r="B5489"/>
      <c r="C5489"/>
      <c r="D5489"/>
      <c r="E5489"/>
      <c r="F5489"/>
      <c r="G5489" s="20"/>
      <c r="H5489"/>
      <c r="I5489"/>
    </row>
    <row r="5490" spans="2:9" ht="15" x14ac:dyDescent="0.25">
      <c r="B5490"/>
      <c r="C5490"/>
      <c r="D5490"/>
      <c r="E5490"/>
      <c r="F5490"/>
      <c r="G5490" s="20"/>
      <c r="H5490"/>
      <c r="I5490"/>
    </row>
    <row r="5491" spans="2:9" ht="15" x14ac:dyDescent="0.25">
      <c r="B5491"/>
      <c r="C5491"/>
      <c r="D5491"/>
      <c r="E5491"/>
      <c r="F5491"/>
      <c r="G5491" s="20"/>
      <c r="H5491"/>
      <c r="I5491"/>
    </row>
    <row r="5492" spans="2:9" ht="15" x14ac:dyDescent="0.25">
      <c r="B5492"/>
      <c r="C5492"/>
      <c r="D5492"/>
      <c r="E5492"/>
      <c r="F5492"/>
      <c r="G5492" s="20"/>
      <c r="H5492"/>
      <c r="I5492"/>
    </row>
    <row r="5493" spans="2:9" ht="15" x14ac:dyDescent="0.25">
      <c r="B5493"/>
      <c r="C5493"/>
      <c r="D5493"/>
      <c r="E5493"/>
      <c r="F5493"/>
      <c r="G5493" s="20"/>
      <c r="H5493"/>
      <c r="I5493"/>
    </row>
    <row r="5494" spans="2:9" ht="15" x14ac:dyDescent="0.25">
      <c r="B5494"/>
      <c r="C5494"/>
      <c r="D5494"/>
      <c r="E5494"/>
      <c r="F5494"/>
      <c r="G5494" s="20"/>
      <c r="H5494"/>
      <c r="I5494"/>
    </row>
    <row r="5495" spans="2:9" ht="15" x14ac:dyDescent="0.25">
      <c r="B5495"/>
      <c r="C5495"/>
      <c r="D5495"/>
      <c r="E5495"/>
      <c r="F5495"/>
      <c r="G5495" s="20"/>
      <c r="H5495"/>
      <c r="I5495"/>
    </row>
    <row r="5496" spans="2:9" ht="15" x14ac:dyDescent="0.25">
      <c r="B5496"/>
      <c r="C5496"/>
      <c r="D5496"/>
      <c r="E5496"/>
      <c r="F5496"/>
      <c r="G5496" s="20"/>
      <c r="H5496"/>
      <c r="I5496"/>
    </row>
    <row r="5497" spans="2:9" ht="15" x14ac:dyDescent="0.25">
      <c r="B5497"/>
      <c r="C5497"/>
      <c r="D5497"/>
      <c r="E5497"/>
      <c r="F5497"/>
      <c r="G5497" s="20"/>
      <c r="H5497"/>
      <c r="I5497"/>
    </row>
    <row r="5498" spans="2:9" ht="15" x14ac:dyDescent="0.25">
      <c r="B5498"/>
      <c r="C5498"/>
      <c r="D5498"/>
      <c r="E5498"/>
      <c r="F5498"/>
      <c r="G5498" s="20"/>
      <c r="H5498"/>
      <c r="I5498"/>
    </row>
    <row r="5499" spans="2:9" ht="15" x14ac:dyDescent="0.25">
      <c r="B5499"/>
      <c r="C5499"/>
      <c r="D5499"/>
      <c r="E5499"/>
      <c r="F5499"/>
      <c r="G5499" s="20"/>
      <c r="H5499"/>
      <c r="I5499"/>
    </row>
    <row r="5500" spans="2:9" ht="15" x14ac:dyDescent="0.25">
      <c r="B5500"/>
      <c r="C5500"/>
      <c r="D5500"/>
      <c r="E5500"/>
      <c r="F5500"/>
      <c r="G5500" s="20"/>
      <c r="H5500"/>
      <c r="I5500"/>
    </row>
    <row r="5501" spans="2:9" ht="15" x14ac:dyDescent="0.25">
      <c r="B5501"/>
      <c r="C5501"/>
      <c r="D5501"/>
      <c r="E5501"/>
      <c r="F5501"/>
      <c r="G5501" s="20"/>
      <c r="H5501"/>
      <c r="I5501"/>
    </row>
    <row r="5502" spans="2:9" ht="15" x14ac:dyDescent="0.25">
      <c r="B5502"/>
      <c r="C5502"/>
      <c r="D5502"/>
      <c r="E5502"/>
      <c r="F5502"/>
      <c r="G5502" s="20"/>
      <c r="H5502"/>
      <c r="I5502"/>
    </row>
    <row r="5503" spans="2:9" ht="15" x14ac:dyDescent="0.25">
      <c r="B5503"/>
      <c r="C5503"/>
      <c r="D5503"/>
      <c r="E5503"/>
      <c r="F5503"/>
      <c r="G5503" s="20"/>
      <c r="H5503"/>
      <c r="I5503"/>
    </row>
    <row r="5504" spans="2:9" ht="15" x14ac:dyDescent="0.25">
      <c r="B5504"/>
      <c r="C5504"/>
      <c r="D5504"/>
      <c r="E5504"/>
      <c r="F5504"/>
      <c r="G5504" s="20"/>
      <c r="H5504"/>
      <c r="I5504"/>
    </row>
    <row r="5505" spans="2:9" ht="15" x14ac:dyDescent="0.25">
      <c r="B5505"/>
      <c r="C5505"/>
      <c r="D5505"/>
      <c r="E5505"/>
      <c r="F5505"/>
      <c r="G5505" s="20"/>
      <c r="H5505"/>
      <c r="I5505"/>
    </row>
    <row r="5506" spans="2:9" ht="15" x14ac:dyDescent="0.25">
      <c r="B5506"/>
      <c r="C5506"/>
      <c r="D5506"/>
      <c r="E5506"/>
      <c r="F5506"/>
      <c r="G5506" s="20"/>
      <c r="H5506"/>
      <c r="I5506"/>
    </row>
    <row r="5507" spans="2:9" ht="15" x14ac:dyDescent="0.25">
      <c r="B5507"/>
      <c r="C5507"/>
      <c r="D5507"/>
      <c r="E5507"/>
      <c r="F5507"/>
      <c r="G5507" s="20"/>
      <c r="H5507"/>
      <c r="I5507"/>
    </row>
    <row r="5508" spans="2:9" ht="15" x14ac:dyDescent="0.25">
      <c r="B5508"/>
      <c r="C5508"/>
      <c r="D5508"/>
      <c r="E5508"/>
      <c r="F5508"/>
      <c r="G5508" s="20"/>
      <c r="H5508"/>
      <c r="I5508"/>
    </row>
    <row r="5509" spans="2:9" ht="15" x14ac:dyDescent="0.25">
      <c r="B5509"/>
      <c r="C5509"/>
      <c r="D5509"/>
      <c r="E5509"/>
      <c r="F5509"/>
      <c r="G5509" s="20"/>
      <c r="H5509"/>
      <c r="I5509"/>
    </row>
    <row r="5510" spans="2:9" ht="15" x14ac:dyDescent="0.25">
      <c r="B5510"/>
      <c r="C5510"/>
      <c r="D5510"/>
      <c r="E5510"/>
      <c r="F5510"/>
      <c r="G5510" s="20"/>
      <c r="H5510"/>
      <c r="I5510"/>
    </row>
    <row r="5511" spans="2:9" ht="15" x14ac:dyDescent="0.25">
      <c r="B5511"/>
      <c r="C5511"/>
      <c r="D5511"/>
      <c r="E5511"/>
      <c r="F5511"/>
      <c r="G5511" s="20"/>
      <c r="H5511"/>
      <c r="I5511"/>
    </row>
    <row r="5512" spans="2:9" ht="15" x14ac:dyDescent="0.25">
      <c r="B5512"/>
      <c r="C5512"/>
      <c r="D5512"/>
      <c r="E5512"/>
      <c r="F5512"/>
      <c r="G5512" s="20"/>
      <c r="H5512"/>
      <c r="I5512"/>
    </row>
    <row r="5513" spans="2:9" ht="15" x14ac:dyDescent="0.25">
      <c r="B5513"/>
      <c r="C5513"/>
      <c r="D5513"/>
      <c r="E5513"/>
      <c r="F5513"/>
      <c r="G5513" s="20"/>
      <c r="H5513"/>
      <c r="I5513"/>
    </row>
    <row r="5514" spans="2:9" ht="15" x14ac:dyDescent="0.25">
      <c r="B5514"/>
      <c r="C5514"/>
      <c r="D5514"/>
      <c r="E5514"/>
      <c r="F5514"/>
      <c r="G5514" s="20"/>
      <c r="H5514"/>
      <c r="I5514"/>
    </row>
    <row r="5515" spans="2:9" ht="15" x14ac:dyDescent="0.25">
      <c r="B5515"/>
      <c r="C5515"/>
      <c r="D5515"/>
      <c r="E5515"/>
      <c r="F5515"/>
      <c r="G5515" s="20"/>
      <c r="H5515"/>
      <c r="I5515"/>
    </row>
    <row r="5516" spans="2:9" ht="15" x14ac:dyDescent="0.25">
      <c r="B5516"/>
      <c r="C5516"/>
      <c r="D5516"/>
      <c r="E5516"/>
      <c r="F5516"/>
      <c r="G5516" s="20"/>
      <c r="H5516"/>
      <c r="I5516"/>
    </row>
    <row r="5517" spans="2:9" ht="15" x14ac:dyDescent="0.25">
      <c r="B5517"/>
      <c r="C5517"/>
      <c r="D5517"/>
      <c r="E5517"/>
      <c r="F5517"/>
      <c r="G5517" s="20"/>
      <c r="H5517"/>
      <c r="I5517"/>
    </row>
    <row r="5518" spans="2:9" ht="15" x14ac:dyDescent="0.25">
      <c r="B5518"/>
      <c r="C5518"/>
      <c r="D5518"/>
      <c r="E5518"/>
      <c r="F5518"/>
      <c r="G5518" s="20"/>
      <c r="H5518"/>
      <c r="I5518"/>
    </row>
    <row r="5519" spans="2:9" ht="15" x14ac:dyDescent="0.25">
      <c r="B5519"/>
      <c r="C5519"/>
      <c r="D5519"/>
      <c r="E5519"/>
      <c r="F5519"/>
      <c r="G5519" s="20"/>
      <c r="H5519"/>
      <c r="I5519"/>
    </row>
    <row r="5520" spans="2:9" ht="15" x14ac:dyDescent="0.25">
      <c r="B5520"/>
      <c r="C5520"/>
      <c r="D5520"/>
      <c r="E5520"/>
      <c r="F5520"/>
      <c r="G5520" s="20"/>
      <c r="H5520"/>
      <c r="I5520"/>
    </row>
    <row r="5521" spans="2:9" ht="15" x14ac:dyDescent="0.25">
      <c r="B5521"/>
      <c r="C5521"/>
      <c r="D5521"/>
      <c r="E5521"/>
      <c r="F5521"/>
      <c r="G5521" s="20"/>
      <c r="H5521"/>
      <c r="I5521"/>
    </row>
    <row r="5522" spans="2:9" ht="15" x14ac:dyDescent="0.25">
      <c r="B5522"/>
      <c r="C5522"/>
      <c r="D5522"/>
      <c r="E5522"/>
      <c r="F5522"/>
      <c r="G5522" s="20"/>
      <c r="H5522"/>
      <c r="I5522"/>
    </row>
    <row r="5523" spans="2:9" ht="15" x14ac:dyDescent="0.25">
      <c r="B5523"/>
      <c r="C5523"/>
      <c r="D5523"/>
      <c r="E5523"/>
      <c r="F5523"/>
      <c r="G5523" s="20"/>
      <c r="H5523"/>
      <c r="I5523"/>
    </row>
    <row r="5524" spans="2:9" ht="15" x14ac:dyDescent="0.25">
      <c r="B5524"/>
      <c r="C5524"/>
      <c r="D5524"/>
      <c r="E5524"/>
      <c r="F5524"/>
      <c r="G5524" s="20"/>
      <c r="H5524"/>
      <c r="I5524"/>
    </row>
    <row r="5525" spans="2:9" ht="15" x14ac:dyDescent="0.25">
      <c r="B5525"/>
      <c r="C5525"/>
      <c r="D5525"/>
      <c r="E5525"/>
      <c r="F5525"/>
      <c r="G5525" s="20"/>
      <c r="H5525"/>
      <c r="I5525"/>
    </row>
    <row r="5526" spans="2:9" ht="15" x14ac:dyDescent="0.25">
      <c r="B5526"/>
      <c r="C5526"/>
      <c r="D5526"/>
      <c r="E5526"/>
      <c r="F5526"/>
      <c r="G5526" s="20"/>
      <c r="H5526"/>
      <c r="I5526"/>
    </row>
    <row r="5527" spans="2:9" ht="15" x14ac:dyDescent="0.25">
      <c r="B5527"/>
      <c r="C5527"/>
      <c r="D5527"/>
      <c r="E5527"/>
      <c r="F5527"/>
      <c r="G5527" s="20"/>
      <c r="H5527"/>
      <c r="I5527"/>
    </row>
    <row r="5528" spans="2:9" ht="15" x14ac:dyDescent="0.25">
      <c r="B5528"/>
      <c r="C5528"/>
      <c r="D5528"/>
      <c r="E5528"/>
      <c r="F5528"/>
      <c r="G5528" s="20"/>
      <c r="H5528"/>
      <c r="I5528"/>
    </row>
    <row r="5529" spans="2:9" ht="15" x14ac:dyDescent="0.25">
      <c r="B5529"/>
      <c r="C5529"/>
      <c r="D5529"/>
      <c r="E5529"/>
      <c r="F5529"/>
      <c r="G5529" s="20"/>
      <c r="H5529"/>
      <c r="I5529"/>
    </row>
    <row r="5530" spans="2:9" ht="15" x14ac:dyDescent="0.25">
      <c r="B5530"/>
      <c r="C5530"/>
      <c r="D5530"/>
      <c r="E5530"/>
      <c r="F5530"/>
      <c r="G5530" s="20"/>
      <c r="H5530"/>
      <c r="I5530"/>
    </row>
    <row r="5531" spans="2:9" ht="15" x14ac:dyDescent="0.25">
      <c r="B5531"/>
      <c r="C5531"/>
      <c r="D5531"/>
      <c r="E5531"/>
      <c r="F5531"/>
      <c r="G5531" s="20"/>
      <c r="H5531"/>
      <c r="I5531"/>
    </row>
    <row r="5532" spans="2:9" ht="15" x14ac:dyDescent="0.25">
      <c r="B5532"/>
      <c r="C5532"/>
      <c r="D5532"/>
      <c r="E5532"/>
      <c r="F5532"/>
      <c r="G5532" s="20"/>
      <c r="H5532"/>
      <c r="I5532"/>
    </row>
    <row r="5533" spans="2:9" ht="15" x14ac:dyDescent="0.25">
      <c r="B5533"/>
      <c r="C5533"/>
      <c r="D5533"/>
      <c r="E5533"/>
      <c r="F5533"/>
      <c r="G5533" s="20"/>
      <c r="H5533"/>
      <c r="I5533"/>
    </row>
    <row r="5534" spans="2:9" ht="15" x14ac:dyDescent="0.25">
      <c r="B5534"/>
      <c r="C5534"/>
      <c r="D5534"/>
      <c r="E5534"/>
      <c r="F5534"/>
      <c r="G5534" s="20"/>
      <c r="H5534"/>
      <c r="I5534"/>
    </row>
    <row r="5535" spans="2:9" ht="15" x14ac:dyDescent="0.25">
      <c r="B5535"/>
      <c r="C5535"/>
      <c r="D5535"/>
      <c r="E5535"/>
      <c r="F5535"/>
      <c r="G5535" s="20"/>
      <c r="H5535"/>
      <c r="I5535"/>
    </row>
    <row r="5536" spans="2:9" ht="15" x14ac:dyDescent="0.25">
      <c r="B5536"/>
      <c r="C5536"/>
      <c r="D5536"/>
      <c r="E5536"/>
      <c r="F5536"/>
      <c r="G5536" s="20"/>
      <c r="H5536"/>
      <c r="I5536"/>
    </row>
    <row r="5537" spans="2:9" ht="15" x14ac:dyDescent="0.25">
      <c r="B5537"/>
      <c r="C5537"/>
      <c r="D5537"/>
      <c r="E5537"/>
      <c r="F5537"/>
      <c r="G5537" s="20"/>
      <c r="H5537"/>
      <c r="I5537"/>
    </row>
    <row r="5538" spans="2:9" ht="15" x14ac:dyDescent="0.25">
      <c r="B5538"/>
      <c r="C5538"/>
      <c r="D5538"/>
      <c r="E5538"/>
      <c r="F5538"/>
      <c r="G5538" s="20"/>
      <c r="H5538"/>
      <c r="I5538"/>
    </row>
    <row r="5539" spans="2:9" ht="15" x14ac:dyDescent="0.25">
      <c r="B5539"/>
      <c r="C5539"/>
      <c r="D5539"/>
      <c r="E5539"/>
      <c r="F5539"/>
      <c r="G5539" s="20"/>
      <c r="H5539"/>
      <c r="I5539"/>
    </row>
    <row r="5540" spans="2:9" ht="15" x14ac:dyDescent="0.25">
      <c r="B5540"/>
      <c r="C5540"/>
      <c r="D5540"/>
      <c r="E5540"/>
      <c r="F5540"/>
      <c r="G5540" s="20"/>
      <c r="H5540"/>
      <c r="I5540"/>
    </row>
    <row r="5541" spans="2:9" ht="15" x14ac:dyDescent="0.25">
      <c r="B5541"/>
      <c r="C5541"/>
      <c r="D5541"/>
      <c r="E5541"/>
      <c r="F5541"/>
      <c r="G5541" s="20"/>
      <c r="H5541"/>
      <c r="I5541"/>
    </row>
    <row r="5542" spans="2:9" ht="15" x14ac:dyDescent="0.25">
      <c r="B5542"/>
      <c r="C5542"/>
      <c r="D5542"/>
      <c r="E5542"/>
      <c r="F5542"/>
      <c r="G5542" s="20"/>
      <c r="H5542"/>
      <c r="I5542"/>
    </row>
    <row r="5543" spans="2:9" ht="15" x14ac:dyDescent="0.25">
      <c r="B5543"/>
      <c r="C5543"/>
      <c r="D5543"/>
      <c r="E5543"/>
      <c r="F5543"/>
      <c r="G5543" s="20"/>
      <c r="H5543"/>
      <c r="I5543"/>
    </row>
    <row r="5544" spans="2:9" ht="15" x14ac:dyDescent="0.25">
      <c r="B5544"/>
      <c r="C5544"/>
      <c r="D5544"/>
      <c r="E5544"/>
      <c r="F5544"/>
      <c r="G5544" s="20"/>
      <c r="H5544"/>
      <c r="I5544"/>
    </row>
    <row r="5545" spans="2:9" ht="15" x14ac:dyDescent="0.25">
      <c r="B5545"/>
      <c r="C5545"/>
      <c r="D5545"/>
      <c r="E5545"/>
      <c r="F5545"/>
      <c r="G5545" s="20"/>
      <c r="H5545"/>
      <c r="I5545"/>
    </row>
    <row r="5546" spans="2:9" ht="15" x14ac:dyDescent="0.25">
      <c r="B5546"/>
      <c r="C5546"/>
      <c r="D5546"/>
      <c r="E5546"/>
      <c r="F5546"/>
      <c r="G5546" s="20"/>
      <c r="H5546"/>
      <c r="I5546"/>
    </row>
    <row r="5547" spans="2:9" ht="15" x14ac:dyDescent="0.25">
      <c r="B5547"/>
      <c r="C5547"/>
      <c r="D5547"/>
      <c r="E5547"/>
      <c r="F5547"/>
      <c r="G5547" s="20"/>
      <c r="H5547"/>
      <c r="I5547"/>
    </row>
    <row r="5548" spans="2:9" ht="15" x14ac:dyDescent="0.25">
      <c r="B5548"/>
      <c r="C5548"/>
      <c r="D5548"/>
      <c r="E5548"/>
      <c r="F5548"/>
      <c r="G5548" s="20"/>
      <c r="H5548"/>
      <c r="I5548"/>
    </row>
    <row r="5549" spans="2:9" ht="15" x14ac:dyDescent="0.25">
      <c r="B5549"/>
      <c r="C5549"/>
      <c r="D5549"/>
      <c r="E5549"/>
      <c r="F5549"/>
      <c r="G5549" s="20"/>
      <c r="H5549"/>
      <c r="I5549"/>
    </row>
    <row r="5550" spans="2:9" ht="15" x14ac:dyDescent="0.25">
      <c r="B5550"/>
      <c r="C5550"/>
      <c r="D5550"/>
      <c r="E5550"/>
      <c r="F5550"/>
      <c r="G5550" s="20"/>
      <c r="H5550"/>
      <c r="I5550"/>
    </row>
    <row r="5551" spans="2:9" ht="15" x14ac:dyDescent="0.25">
      <c r="B5551"/>
      <c r="C5551"/>
      <c r="D5551"/>
      <c r="E5551"/>
      <c r="F5551"/>
      <c r="G5551" s="20"/>
      <c r="H5551"/>
      <c r="I5551"/>
    </row>
    <row r="5552" spans="2:9" ht="15" x14ac:dyDescent="0.25">
      <c r="B5552"/>
      <c r="C5552"/>
      <c r="D5552"/>
      <c r="E5552"/>
      <c r="F5552"/>
      <c r="G5552" s="20"/>
      <c r="H5552"/>
      <c r="I5552"/>
    </row>
    <row r="5553" spans="2:9" ht="15" x14ac:dyDescent="0.25">
      <c r="B5553"/>
      <c r="C5553"/>
      <c r="D5553"/>
      <c r="E5553"/>
      <c r="F5553"/>
      <c r="G5553" s="20"/>
      <c r="H5553"/>
      <c r="I5553"/>
    </row>
    <row r="5554" spans="2:9" ht="15" x14ac:dyDescent="0.25">
      <c r="B5554"/>
      <c r="C5554"/>
      <c r="D5554"/>
      <c r="E5554"/>
      <c r="F5554"/>
      <c r="G5554" s="20"/>
      <c r="H5554"/>
      <c r="I5554"/>
    </row>
    <row r="5555" spans="2:9" ht="15" x14ac:dyDescent="0.25">
      <c r="B5555"/>
      <c r="C5555"/>
      <c r="D5555"/>
      <c r="E5555"/>
      <c r="F5555"/>
      <c r="G5555" s="20"/>
      <c r="H5555"/>
      <c r="I5555"/>
    </row>
    <row r="5556" spans="2:9" ht="15" x14ac:dyDescent="0.25">
      <c r="B5556"/>
      <c r="C5556"/>
      <c r="D5556"/>
      <c r="E5556"/>
      <c r="F5556"/>
      <c r="G5556" s="20"/>
      <c r="H5556"/>
      <c r="I5556"/>
    </row>
    <row r="5557" spans="2:9" ht="15" x14ac:dyDescent="0.25">
      <c r="B5557"/>
      <c r="C5557"/>
      <c r="D5557"/>
      <c r="E5557"/>
      <c r="F5557"/>
      <c r="G5557" s="20"/>
      <c r="H5557"/>
      <c r="I5557"/>
    </row>
    <row r="5558" spans="2:9" ht="15" x14ac:dyDescent="0.25">
      <c r="B5558"/>
      <c r="C5558"/>
      <c r="D5558"/>
      <c r="E5558"/>
      <c r="F5558"/>
      <c r="G5558" s="20"/>
      <c r="H5558"/>
      <c r="I5558"/>
    </row>
    <row r="5559" spans="2:9" ht="15" x14ac:dyDescent="0.25">
      <c r="B5559"/>
      <c r="C5559"/>
      <c r="D5559"/>
      <c r="E5559"/>
      <c r="F5559"/>
      <c r="G5559" s="20"/>
      <c r="H5559"/>
      <c r="I5559"/>
    </row>
    <row r="5560" spans="2:9" ht="15" x14ac:dyDescent="0.25">
      <c r="B5560"/>
      <c r="C5560"/>
      <c r="D5560"/>
      <c r="E5560"/>
      <c r="F5560"/>
      <c r="G5560" s="20"/>
      <c r="H5560"/>
      <c r="I5560"/>
    </row>
    <row r="5561" spans="2:9" ht="15" x14ac:dyDescent="0.25">
      <c r="B5561"/>
      <c r="C5561"/>
      <c r="D5561"/>
      <c r="E5561"/>
      <c r="F5561"/>
      <c r="G5561" s="20"/>
      <c r="H5561"/>
      <c r="I5561"/>
    </row>
    <row r="5562" spans="2:9" ht="15" x14ac:dyDescent="0.25">
      <c r="B5562"/>
      <c r="C5562"/>
      <c r="D5562"/>
      <c r="E5562"/>
      <c r="F5562"/>
      <c r="G5562" s="20"/>
      <c r="H5562"/>
      <c r="I5562"/>
    </row>
    <row r="5563" spans="2:9" ht="15" x14ac:dyDescent="0.25">
      <c r="B5563"/>
      <c r="C5563"/>
      <c r="D5563"/>
      <c r="E5563"/>
      <c r="F5563"/>
      <c r="G5563" s="20"/>
      <c r="H5563"/>
      <c r="I5563"/>
    </row>
    <row r="5564" spans="2:9" ht="15" x14ac:dyDescent="0.25">
      <c r="B5564"/>
      <c r="C5564"/>
      <c r="D5564"/>
      <c r="E5564"/>
      <c r="F5564"/>
      <c r="G5564" s="20"/>
      <c r="H5564"/>
      <c r="I5564"/>
    </row>
    <row r="5565" spans="2:9" ht="15" x14ac:dyDescent="0.25">
      <c r="B5565"/>
      <c r="C5565"/>
      <c r="D5565"/>
      <c r="E5565"/>
      <c r="F5565"/>
      <c r="G5565" s="20"/>
      <c r="H5565"/>
      <c r="I5565"/>
    </row>
    <row r="5566" spans="2:9" ht="15" x14ac:dyDescent="0.25">
      <c r="B5566"/>
      <c r="C5566"/>
      <c r="D5566"/>
      <c r="E5566"/>
      <c r="F5566"/>
      <c r="G5566" s="20"/>
      <c r="H5566"/>
      <c r="I5566"/>
    </row>
    <row r="5567" spans="2:9" ht="15" x14ac:dyDescent="0.25">
      <c r="B5567"/>
      <c r="C5567"/>
      <c r="D5567"/>
      <c r="E5567"/>
      <c r="F5567"/>
      <c r="G5567" s="20"/>
      <c r="H5567"/>
      <c r="I5567"/>
    </row>
    <row r="5568" spans="2:9" ht="15" x14ac:dyDescent="0.25">
      <c r="B5568"/>
      <c r="C5568"/>
      <c r="D5568"/>
      <c r="E5568"/>
      <c r="F5568"/>
      <c r="G5568" s="20"/>
      <c r="H5568"/>
      <c r="I5568"/>
    </row>
    <row r="5569" spans="2:9" ht="15" x14ac:dyDescent="0.25">
      <c r="B5569"/>
      <c r="C5569"/>
      <c r="D5569"/>
      <c r="E5569"/>
      <c r="F5569"/>
      <c r="G5569" s="20"/>
      <c r="H5569"/>
      <c r="I5569"/>
    </row>
    <row r="5570" spans="2:9" ht="15" x14ac:dyDescent="0.25">
      <c r="B5570"/>
      <c r="C5570"/>
      <c r="D5570"/>
      <c r="E5570"/>
      <c r="F5570"/>
      <c r="G5570" s="20"/>
      <c r="H5570"/>
      <c r="I5570"/>
    </row>
    <row r="5571" spans="2:9" ht="15" x14ac:dyDescent="0.25">
      <c r="B5571"/>
      <c r="C5571"/>
      <c r="D5571"/>
      <c r="E5571"/>
      <c r="F5571"/>
      <c r="G5571" s="20"/>
      <c r="H5571"/>
      <c r="I5571"/>
    </row>
    <row r="5572" spans="2:9" ht="15" x14ac:dyDescent="0.25">
      <c r="B5572"/>
      <c r="C5572"/>
      <c r="D5572"/>
      <c r="E5572"/>
      <c r="F5572"/>
      <c r="G5572" s="20"/>
      <c r="H5572"/>
      <c r="I5572"/>
    </row>
    <row r="5573" spans="2:9" ht="15" x14ac:dyDescent="0.25">
      <c r="B5573"/>
      <c r="C5573"/>
      <c r="D5573"/>
      <c r="E5573"/>
      <c r="F5573"/>
      <c r="G5573" s="20"/>
      <c r="H5573"/>
      <c r="I5573"/>
    </row>
    <row r="5574" spans="2:9" ht="15" x14ac:dyDescent="0.25">
      <c r="B5574"/>
      <c r="C5574"/>
      <c r="D5574"/>
      <c r="E5574"/>
      <c r="F5574"/>
      <c r="G5574" s="20"/>
      <c r="H5574"/>
      <c r="I5574"/>
    </row>
    <row r="5575" spans="2:9" ht="15" x14ac:dyDescent="0.25">
      <c r="B5575"/>
      <c r="C5575"/>
      <c r="D5575"/>
      <c r="E5575"/>
      <c r="F5575"/>
      <c r="G5575" s="20"/>
      <c r="H5575"/>
      <c r="I5575"/>
    </row>
    <row r="5576" spans="2:9" ht="15" x14ac:dyDescent="0.25">
      <c r="B5576"/>
      <c r="C5576"/>
      <c r="D5576"/>
      <c r="E5576"/>
      <c r="F5576"/>
      <c r="G5576" s="20"/>
      <c r="H5576"/>
      <c r="I5576"/>
    </row>
    <row r="5577" spans="2:9" ht="15" x14ac:dyDescent="0.25">
      <c r="B5577"/>
      <c r="C5577"/>
      <c r="D5577"/>
      <c r="E5577"/>
      <c r="F5577"/>
      <c r="G5577" s="20"/>
      <c r="H5577"/>
      <c r="I5577"/>
    </row>
    <row r="5578" spans="2:9" ht="15" x14ac:dyDescent="0.25">
      <c r="B5578"/>
      <c r="C5578"/>
      <c r="D5578"/>
      <c r="E5578"/>
      <c r="F5578"/>
      <c r="G5578" s="20"/>
      <c r="H5578"/>
      <c r="I5578"/>
    </row>
    <row r="5579" spans="2:9" ht="15" x14ac:dyDescent="0.25">
      <c r="B5579"/>
      <c r="C5579"/>
      <c r="D5579"/>
      <c r="E5579"/>
      <c r="F5579"/>
      <c r="G5579" s="20"/>
      <c r="H5579"/>
      <c r="I5579"/>
    </row>
    <row r="5580" spans="2:9" ht="15" x14ac:dyDescent="0.25">
      <c r="B5580"/>
      <c r="C5580"/>
      <c r="D5580"/>
      <c r="E5580"/>
      <c r="F5580"/>
      <c r="G5580" s="20"/>
      <c r="H5580"/>
      <c r="I5580"/>
    </row>
    <row r="5581" spans="2:9" ht="15" x14ac:dyDescent="0.25">
      <c r="B5581"/>
      <c r="C5581"/>
      <c r="D5581"/>
      <c r="E5581"/>
      <c r="F5581"/>
      <c r="G5581" s="20"/>
      <c r="H5581"/>
      <c r="I5581"/>
    </row>
    <row r="5582" spans="2:9" ht="15" x14ac:dyDescent="0.25">
      <c r="B5582"/>
      <c r="C5582"/>
      <c r="D5582"/>
      <c r="E5582"/>
      <c r="F5582"/>
      <c r="G5582" s="20"/>
      <c r="H5582"/>
      <c r="I5582"/>
    </row>
    <row r="5583" spans="2:9" ht="15" x14ac:dyDescent="0.25">
      <c r="B5583"/>
      <c r="C5583"/>
      <c r="D5583"/>
      <c r="E5583"/>
      <c r="F5583"/>
      <c r="G5583" s="20"/>
      <c r="H5583"/>
      <c r="I5583"/>
    </row>
    <row r="5584" spans="2:9" ht="15" x14ac:dyDescent="0.25">
      <c r="B5584"/>
      <c r="C5584"/>
      <c r="D5584"/>
      <c r="E5584"/>
      <c r="F5584"/>
      <c r="G5584" s="20"/>
      <c r="H5584"/>
      <c r="I5584"/>
    </row>
    <row r="5585" spans="2:9" ht="15" x14ac:dyDescent="0.25">
      <c r="B5585"/>
      <c r="C5585"/>
      <c r="D5585"/>
      <c r="E5585"/>
      <c r="F5585"/>
      <c r="G5585" s="20"/>
      <c r="H5585"/>
      <c r="I5585"/>
    </row>
    <row r="5586" spans="2:9" ht="15" x14ac:dyDescent="0.25">
      <c r="B5586"/>
      <c r="C5586"/>
      <c r="D5586"/>
      <c r="E5586"/>
      <c r="F5586"/>
      <c r="G5586" s="20"/>
      <c r="H5586"/>
      <c r="I5586"/>
    </row>
    <row r="5587" spans="2:9" ht="15" x14ac:dyDescent="0.25">
      <c r="B5587"/>
      <c r="C5587"/>
      <c r="D5587"/>
      <c r="E5587"/>
      <c r="F5587"/>
      <c r="G5587" s="20"/>
      <c r="H5587"/>
      <c r="I5587"/>
    </row>
    <row r="5588" spans="2:9" ht="15" x14ac:dyDescent="0.25">
      <c r="B5588"/>
      <c r="C5588"/>
      <c r="D5588"/>
      <c r="E5588"/>
      <c r="F5588"/>
      <c r="G5588" s="20"/>
      <c r="H5588"/>
      <c r="I5588"/>
    </row>
    <row r="5589" spans="2:9" ht="15" x14ac:dyDescent="0.25">
      <c r="B5589"/>
      <c r="C5589"/>
      <c r="D5589"/>
      <c r="E5589"/>
      <c r="F5589"/>
      <c r="G5589" s="20"/>
      <c r="H5589"/>
      <c r="I5589"/>
    </row>
    <row r="5590" spans="2:9" ht="15" x14ac:dyDescent="0.25">
      <c r="B5590"/>
      <c r="C5590"/>
      <c r="D5590"/>
      <c r="E5590"/>
      <c r="F5590"/>
      <c r="G5590" s="20"/>
      <c r="H5590"/>
      <c r="I5590"/>
    </row>
    <row r="5591" spans="2:9" ht="15" x14ac:dyDescent="0.25">
      <c r="B5591"/>
      <c r="C5591"/>
      <c r="D5591"/>
      <c r="E5591"/>
      <c r="F5591"/>
      <c r="G5591" s="20"/>
      <c r="H5591"/>
      <c r="I5591"/>
    </row>
    <row r="5592" spans="2:9" ht="15" x14ac:dyDescent="0.25">
      <c r="B5592"/>
      <c r="C5592"/>
      <c r="D5592"/>
      <c r="E5592"/>
      <c r="F5592"/>
      <c r="G5592" s="20"/>
      <c r="H5592"/>
      <c r="I5592"/>
    </row>
    <row r="5593" spans="2:9" ht="15" x14ac:dyDescent="0.25">
      <c r="B5593"/>
      <c r="C5593"/>
      <c r="D5593"/>
      <c r="E5593"/>
      <c r="F5593"/>
      <c r="G5593" s="20"/>
      <c r="H5593"/>
      <c r="I5593"/>
    </row>
    <row r="5594" spans="2:9" ht="15" x14ac:dyDescent="0.25">
      <c r="B5594"/>
      <c r="C5594"/>
      <c r="D5594"/>
      <c r="E5594"/>
      <c r="F5594"/>
      <c r="G5594" s="20"/>
      <c r="H5594"/>
      <c r="I5594"/>
    </row>
    <row r="5595" spans="2:9" ht="15" x14ac:dyDescent="0.25">
      <c r="B5595"/>
      <c r="C5595"/>
      <c r="D5595"/>
      <c r="E5595"/>
      <c r="F5595"/>
      <c r="G5595" s="20"/>
      <c r="H5595"/>
      <c r="I5595"/>
    </row>
    <row r="5596" spans="2:9" ht="15" x14ac:dyDescent="0.25">
      <c r="B5596"/>
      <c r="C5596"/>
      <c r="D5596"/>
      <c r="E5596"/>
      <c r="F5596"/>
      <c r="G5596" s="20"/>
      <c r="H5596"/>
      <c r="I5596"/>
    </row>
    <row r="5597" spans="2:9" ht="15" x14ac:dyDescent="0.25">
      <c r="B5597"/>
      <c r="C5597"/>
      <c r="D5597"/>
      <c r="E5597"/>
      <c r="F5597"/>
      <c r="G5597" s="20"/>
      <c r="H5597"/>
      <c r="I5597"/>
    </row>
    <row r="5598" spans="2:9" ht="15" x14ac:dyDescent="0.25">
      <c r="B5598"/>
      <c r="C5598"/>
      <c r="D5598"/>
      <c r="E5598"/>
      <c r="F5598"/>
      <c r="G5598" s="20"/>
      <c r="H5598"/>
      <c r="I5598"/>
    </row>
    <row r="5599" spans="2:9" ht="15" x14ac:dyDescent="0.25">
      <c r="B5599"/>
      <c r="C5599"/>
      <c r="D5599"/>
      <c r="E5599"/>
      <c r="F5599"/>
      <c r="G5599" s="20"/>
      <c r="H5599"/>
      <c r="I5599"/>
    </row>
    <row r="5600" spans="2:9" ht="15" x14ac:dyDescent="0.25">
      <c r="B5600"/>
      <c r="C5600"/>
      <c r="D5600"/>
      <c r="E5600"/>
      <c r="F5600"/>
      <c r="G5600" s="20"/>
      <c r="H5600"/>
      <c r="I5600"/>
    </row>
    <row r="5601" spans="2:9" ht="15" x14ac:dyDescent="0.25">
      <c r="B5601"/>
      <c r="C5601"/>
      <c r="D5601"/>
      <c r="E5601"/>
      <c r="F5601"/>
      <c r="G5601" s="20"/>
      <c r="H5601"/>
      <c r="I5601"/>
    </row>
    <row r="5602" spans="2:9" ht="15" x14ac:dyDescent="0.25">
      <c r="B5602"/>
      <c r="C5602"/>
      <c r="D5602"/>
      <c r="E5602"/>
      <c r="F5602"/>
      <c r="G5602" s="20"/>
      <c r="H5602"/>
      <c r="I5602"/>
    </row>
    <row r="5603" spans="2:9" ht="15" x14ac:dyDescent="0.25">
      <c r="B5603"/>
      <c r="C5603"/>
      <c r="D5603"/>
      <c r="E5603"/>
      <c r="F5603"/>
      <c r="G5603" s="20"/>
      <c r="H5603"/>
      <c r="I5603"/>
    </row>
    <row r="5604" spans="2:9" ht="15" x14ac:dyDescent="0.25">
      <c r="B5604"/>
      <c r="C5604"/>
      <c r="D5604"/>
      <c r="E5604"/>
      <c r="F5604"/>
      <c r="G5604" s="20"/>
      <c r="H5604"/>
      <c r="I5604"/>
    </row>
    <row r="5605" spans="2:9" ht="15" x14ac:dyDescent="0.25">
      <c r="B5605"/>
      <c r="C5605"/>
      <c r="D5605"/>
      <c r="E5605"/>
      <c r="F5605"/>
      <c r="G5605" s="20"/>
      <c r="H5605"/>
      <c r="I5605"/>
    </row>
    <row r="5606" spans="2:9" ht="15" x14ac:dyDescent="0.25">
      <c r="B5606"/>
      <c r="C5606"/>
      <c r="D5606"/>
      <c r="E5606"/>
      <c r="F5606"/>
      <c r="G5606" s="20"/>
      <c r="H5606"/>
      <c r="I5606"/>
    </row>
    <row r="5607" spans="2:9" ht="15" x14ac:dyDescent="0.25">
      <c r="B5607"/>
      <c r="C5607"/>
      <c r="D5607"/>
      <c r="E5607"/>
      <c r="F5607"/>
      <c r="G5607" s="20"/>
      <c r="H5607"/>
      <c r="I5607"/>
    </row>
    <row r="5608" spans="2:9" ht="15" x14ac:dyDescent="0.25">
      <c r="B5608"/>
      <c r="C5608"/>
      <c r="D5608"/>
      <c r="E5608"/>
      <c r="F5608"/>
      <c r="G5608" s="20"/>
      <c r="H5608"/>
      <c r="I5608"/>
    </row>
    <row r="5609" spans="2:9" ht="15" x14ac:dyDescent="0.25">
      <c r="B5609"/>
      <c r="C5609"/>
      <c r="D5609"/>
      <c r="E5609"/>
      <c r="F5609"/>
      <c r="G5609" s="20"/>
      <c r="H5609"/>
      <c r="I5609"/>
    </row>
    <row r="5610" spans="2:9" ht="15" x14ac:dyDescent="0.25">
      <c r="B5610"/>
      <c r="C5610"/>
      <c r="D5610"/>
      <c r="E5610"/>
      <c r="F5610"/>
      <c r="G5610" s="20"/>
      <c r="H5610"/>
      <c r="I5610"/>
    </row>
    <row r="5611" spans="2:9" ht="15" x14ac:dyDescent="0.25">
      <c r="B5611"/>
      <c r="C5611"/>
      <c r="D5611"/>
      <c r="E5611"/>
      <c r="F5611"/>
      <c r="G5611" s="20"/>
      <c r="H5611"/>
      <c r="I5611"/>
    </row>
    <row r="5612" spans="2:9" ht="15" x14ac:dyDescent="0.25">
      <c r="B5612"/>
      <c r="C5612"/>
      <c r="D5612"/>
      <c r="E5612"/>
      <c r="F5612"/>
      <c r="G5612" s="20"/>
      <c r="H5612"/>
      <c r="I5612"/>
    </row>
    <row r="5613" spans="2:9" ht="15" x14ac:dyDescent="0.25">
      <c r="B5613"/>
      <c r="C5613"/>
      <c r="D5613"/>
      <c r="E5613"/>
      <c r="F5613"/>
      <c r="G5613" s="20"/>
      <c r="H5613"/>
      <c r="I5613"/>
    </row>
    <row r="5614" spans="2:9" ht="15" x14ac:dyDescent="0.25">
      <c r="B5614"/>
      <c r="C5614"/>
      <c r="D5614"/>
      <c r="E5614"/>
      <c r="F5614"/>
      <c r="G5614" s="20"/>
      <c r="H5614"/>
      <c r="I5614"/>
    </row>
    <row r="5615" spans="2:9" ht="15" x14ac:dyDescent="0.25">
      <c r="B5615"/>
      <c r="C5615"/>
      <c r="D5615"/>
      <c r="E5615"/>
      <c r="F5615"/>
      <c r="G5615" s="20"/>
      <c r="H5615"/>
      <c r="I5615"/>
    </row>
    <row r="5616" spans="2:9" ht="15" x14ac:dyDescent="0.25">
      <c r="B5616"/>
      <c r="C5616"/>
      <c r="D5616"/>
      <c r="E5616"/>
      <c r="F5616"/>
      <c r="G5616" s="20"/>
      <c r="H5616"/>
      <c r="I5616"/>
    </row>
    <row r="5617" spans="2:9" ht="15" x14ac:dyDescent="0.25">
      <c r="B5617"/>
      <c r="C5617"/>
      <c r="D5617"/>
      <c r="E5617"/>
      <c r="F5617"/>
      <c r="G5617" s="20"/>
      <c r="H5617"/>
      <c r="I5617"/>
    </row>
    <row r="5618" spans="2:9" ht="15" x14ac:dyDescent="0.25">
      <c r="B5618"/>
      <c r="C5618"/>
      <c r="D5618"/>
      <c r="E5618"/>
      <c r="F5618"/>
      <c r="G5618" s="20"/>
      <c r="H5618"/>
      <c r="I5618"/>
    </row>
    <row r="5619" spans="2:9" ht="15" x14ac:dyDescent="0.25">
      <c r="B5619"/>
      <c r="C5619"/>
      <c r="D5619"/>
      <c r="E5619"/>
      <c r="F5619"/>
      <c r="G5619" s="20"/>
      <c r="H5619"/>
      <c r="I5619"/>
    </row>
    <row r="5620" spans="2:9" ht="15" x14ac:dyDescent="0.25">
      <c r="B5620"/>
      <c r="C5620"/>
      <c r="D5620"/>
      <c r="E5620"/>
      <c r="F5620"/>
      <c r="G5620" s="20"/>
      <c r="H5620"/>
      <c r="I5620"/>
    </row>
    <row r="5621" spans="2:9" ht="15" x14ac:dyDescent="0.25">
      <c r="B5621"/>
      <c r="C5621"/>
      <c r="D5621"/>
      <c r="E5621"/>
      <c r="F5621"/>
      <c r="G5621" s="20"/>
      <c r="H5621"/>
      <c r="I5621"/>
    </row>
    <row r="5622" spans="2:9" ht="15" x14ac:dyDescent="0.25">
      <c r="B5622"/>
      <c r="C5622"/>
      <c r="D5622"/>
      <c r="E5622"/>
      <c r="F5622"/>
      <c r="G5622" s="20"/>
      <c r="H5622"/>
      <c r="I5622"/>
    </row>
    <row r="5623" spans="2:9" ht="15" x14ac:dyDescent="0.25">
      <c r="B5623"/>
      <c r="C5623"/>
      <c r="D5623"/>
      <c r="E5623"/>
      <c r="F5623"/>
      <c r="G5623" s="20"/>
      <c r="H5623"/>
      <c r="I5623"/>
    </row>
    <row r="5624" spans="2:9" ht="15" x14ac:dyDescent="0.25">
      <c r="B5624"/>
      <c r="C5624"/>
      <c r="D5624"/>
      <c r="E5624"/>
      <c r="F5624"/>
      <c r="G5624" s="20"/>
      <c r="H5624"/>
      <c r="I5624"/>
    </row>
    <row r="5625" spans="2:9" ht="15" x14ac:dyDescent="0.25">
      <c r="B5625"/>
      <c r="C5625"/>
      <c r="D5625"/>
      <c r="E5625"/>
      <c r="F5625"/>
      <c r="G5625" s="20"/>
      <c r="H5625"/>
      <c r="I5625"/>
    </row>
    <row r="5626" spans="2:9" ht="15" x14ac:dyDescent="0.25">
      <c r="B5626"/>
      <c r="C5626"/>
      <c r="D5626"/>
      <c r="E5626"/>
      <c r="F5626"/>
      <c r="G5626" s="20"/>
      <c r="H5626"/>
      <c r="I5626"/>
    </row>
    <row r="5627" spans="2:9" ht="15" x14ac:dyDescent="0.25">
      <c r="B5627"/>
      <c r="C5627"/>
      <c r="D5627"/>
      <c r="E5627"/>
      <c r="F5627"/>
      <c r="G5627" s="20"/>
      <c r="H5627"/>
      <c r="I5627"/>
    </row>
    <row r="5628" spans="2:9" ht="15" x14ac:dyDescent="0.25">
      <c r="B5628"/>
      <c r="C5628"/>
      <c r="D5628"/>
      <c r="E5628"/>
      <c r="F5628"/>
      <c r="G5628" s="20"/>
      <c r="H5628"/>
      <c r="I5628"/>
    </row>
    <row r="5629" spans="2:9" ht="15" x14ac:dyDescent="0.25">
      <c r="B5629"/>
      <c r="C5629"/>
      <c r="D5629"/>
      <c r="E5629"/>
      <c r="F5629"/>
      <c r="G5629" s="20"/>
      <c r="H5629"/>
      <c r="I5629"/>
    </row>
    <row r="5630" spans="2:9" ht="15" x14ac:dyDescent="0.25">
      <c r="B5630"/>
      <c r="C5630"/>
      <c r="D5630"/>
      <c r="E5630"/>
      <c r="F5630"/>
      <c r="G5630" s="20"/>
      <c r="H5630"/>
      <c r="I5630"/>
    </row>
    <row r="5631" spans="2:9" ht="15" x14ac:dyDescent="0.25">
      <c r="B5631"/>
      <c r="C5631"/>
      <c r="D5631"/>
      <c r="E5631"/>
      <c r="F5631"/>
      <c r="G5631" s="20"/>
      <c r="H5631"/>
      <c r="I5631"/>
    </row>
    <row r="5632" spans="2:9" ht="15" x14ac:dyDescent="0.25">
      <c r="B5632"/>
      <c r="C5632"/>
      <c r="D5632"/>
      <c r="E5632"/>
      <c r="F5632"/>
      <c r="G5632" s="20"/>
      <c r="H5632"/>
      <c r="I5632"/>
    </row>
    <row r="5633" spans="2:9" ht="15" x14ac:dyDescent="0.25">
      <c r="B5633"/>
      <c r="C5633"/>
      <c r="D5633"/>
      <c r="E5633"/>
      <c r="F5633"/>
      <c r="G5633" s="20"/>
      <c r="H5633"/>
      <c r="I5633"/>
    </row>
    <row r="5634" spans="2:9" ht="15" x14ac:dyDescent="0.25">
      <c r="B5634"/>
      <c r="C5634"/>
      <c r="D5634"/>
      <c r="E5634"/>
      <c r="F5634"/>
      <c r="G5634" s="20"/>
      <c r="H5634"/>
      <c r="I5634"/>
    </row>
    <row r="5635" spans="2:9" ht="15" x14ac:dyDescent="0.25">
      <c r="B5635"/>
      <c r="C5635"/>
      <c r="D5635"/>
      <c r="E5635"/>
      <c r="F5635"/>
      <c r="G5635" s="20"/>
      <c r="H5635"/>
      <c r="I5635"/>
    </row>
    <row r="5636" spans="2:9" ht="15" x14ac:dyDescent="0.25">
      <c r="B5636"/>
      <c r="C5636"/>
      <c r="D5636"/>
      <c r="E5636"/>
      <c r="F5636"/>
      <c r="G5636" s="20"/>
      <c r="H5636"/>
      <c r="I5636"/>
    </row>
    <row r="5637" spans="2:9" ht="15" x14ac:dyDescent="0.25">
      <c r="B5637"/>
      <c r="C5637"/>
      <c r="D5637"/>
      <c r="E5637"/>
      <c r="F5637"/>
      <c r="G5637" s="20"/>
      <c r="H5637"/>
      <c r="I5637"/>
    </row>
    <row r="5638" spans="2:9" ht="15" x14ac:dyDescent="0.25">
      <c r="B5638"/>
      <c r="C5638"/>
      <c r="D5638"/>
      <c r="E5638"/>
      <c r="F5638"/>
      <c r="G5638" s="20"/>
      <c r="H5638"/>
      <c r="I5638"/>
    </row>
    <row r="5639" spans="2:9" ht="15" x14ac:dyDescent="0.25">
      <c r="B5639"/>
      <c r="C5639"/>
      <c r="D5639"/>
      <c r="E5639"/>
      <c r="F5639"/>
      <c r="G5639" s="20"/>
      <c r="H5639"/>
      <c r="I5639"/>
    </row>
    <row r="5640" spans="2:9" ht="15" x14ac:dyDescent="0.25">
      <c r="B5640"/>
      <c r="C5640"/>
      <c r="D5640"/>
      <c r="E5640"/>
      <c r="F5640"/>
      <c r="G5640" s="20"/>
      <c r="H5640"/>
      <c r="I5640"/>
    </row>
    <row r="5641" spans="2:9" ht="15" x14ac:dyDescent="0.25">
      <c r="B5641"/>
      <c r="C5641"/>
      <c r="D5641"/>
      <c r="E5641"/>
      <c r="F5641"/>
      <c r="G5641" s="20"/>
      <c r="H5641"/>
      <c r="I5641"/>
    </row>
    <row r="5642" spans="2:9" ht="15" x14ac:dyDescent="0.25">
      <c r="B5642"/>
      <c r="C5642"/>
      <c r="D5642"/>
      <c r="E5642"/>
      <c r="F5642"/>
      <c r="G5642" s="20"/>
      <c r="H5642"/>
      <c r="I5642"/>
    </row>
    <row r="5643" spans="2:9" ht="15" x14ac:dyDescent="0.25">
      <c r="B5643"/>
      <c r="C5643"/>
      <c r="D5643"/>
      <c r="E5643"/>
      <c r="F5643"/>
      <c r="G5643" s="20"/>
      <c r="H5643"/>
      <c r="I5643"/>
    </row>
    <row r="5644" spans="2:9" ht="15" x14ac:dyDescent="0.25">
      <c r="B5644"/>
      <c r="C5644"/>
      <c r="D5644"/>
      <c r="E5644"/>
      <c r="F5644"/>
      <c r="G5644" s="20"/>
      <c r="H5644"/>
      <c r="I5644"/>
    </row>
    <row r="5645" spans="2:9" ht="15" x14ac:dyDescent="0.25">
      <c r="B5645"/>
      <c r="C5645"/>
      <c r="D5645"/>
      <c r="E5645"/>
      <c r="F5645"/>
      <c r="G5645" s="20"/>
      <c r="H5645"/>
      <c r="I5645"/>
    </row>
    <row r="5646" spans="2:9" ht="15" x14ac:dyDescent="0.25">
      <c r="B5646"/>
      <c r="C5646"/>
      <c r="D5646"/>
      <c r="E5646"/>
      <c r="F5646"/>
      <c r="G5646" s="20"/>
      <c r="H5646"/>
      <c r="I5646"/>
    </row>
    <row r="5647" spans="2:9" ht="15" x14ac:dyDescent="0.25">
      <c r="B5647"/>
      <c r="C5647"/>
      <c r="D5647"/>
      <c r="E5647"/>
      <c r="F5647"/>
      <c r="G5647" s="20"/>
      <c r="H5647"/>
      <c r="I5647"/>
    </row>
    <row r="5648" spans="2:9" ht="15" x14ac:dyDescent="0.25">
      <c r="B5648"/>
      <c r="C5648"/>
      <c r="D5648"/>
      <c r="E5648"/>
      <c r="F5648"/>
      <c r="G5648" s="20"/>
      <c r="H5648"/>
      <c r="I5648"/>
    </row>
    <row r="5649" spans="2:9" ht="15" x14ac:dyDescent="0.25">
      <c r="B5649"/>
      <c r="C5649"/>
      <c r="D5649"/>
      <c r="E5649"/>
      <c r="F5649"/>
      <c r="G5649" s="20"/>
      <c r="H5649"/>
      <c r="I5649"/>
    </row>
    <row r="5650" spans="2:9" ht="15" x14ac:dyDescent="0.25">
      <c r="B5650"/>
      <c r="C5650"/>
      <c r="D5650"/>
      <c r="E5650"/>
      <c r="F5650"/>
      <c r="G5650" s="20"/>
      <c r="H5650"/>
      <c r="I5650"/>
    </row>
    <row r="5651" spans="2:9" ht="15" x14ac:dyDescent="0.25">
      <c r="B5651"/>
      <c r="C5651"/>
      <c r="D5651"/>
      <c r="E5651"/>
      <c r="F5651"/>
      <c r="G5651" s="20"/>
      <c r="H5651"/>
      <c r="I5651"/>
    </row>
    <row r="5652" spans="2:9" ht="15" x14ac:dyDescent="0.25">
      <c r="B5652"/>
      <c r="C5652"/>
      <c r="D5652"/>
      <c r="E5652"/>
      <c r="F5652"/>
      <c r="G5652" s="20"/>
      <c r="H5652"/>
      <c r="I5652"/>
    </row>
    <row r="5653" spans="2:9" ht="15" x14ac:dyDescent="0.25">
      <c r="B5653"/>
      <c r="C5653"/>
      <c r="D5653"/>
      <c r="E5653"/>
      <c r="F5653"/>
      <c r="G5653" s="20"/>
      <c r="H5653"/>
      <c r="I5653"/>
    </row>
    <row r="5654" spans="2:9" ht="15" x14ac:dyDescent="0.25">
      <c r="B5654"/>
      <c r="C5654"/>
      <c r="D5654"/>
      <c r="E5654"/>
      <c r="F5654"/>
      <c r="G5654" s="20"/>
      <c r="H5654"/>
      <c r="I5654"/>
    </row>
    <row r="5655" spans="2:9" ht="15" x14ac:dyDescent="0.25">
      <c r="B5655"/>
      <c r="C5655"/>
      <c r="D5655"/>
      <c r="E5655"/>
      <c r="F5655"/>
      <c r="G5655" s="20"/>
      <c r="H5655"/>
      <c r="I5655"/>
    </row>
    <row r="5656" spans="2:9" ht="15" x14ac:dyDescent="0.25">
      <c r="B5656"/>
      <c r="C5656"/>
      <c r="D5656"/>
      <c r="E5656"/>
      <c r="F5656"/>
      <c r="G5656" s="20"/>
      <c r="H5656"/>
      <c r="I5656"/>
    </row>
    <row r="5657" spans="2:9" ht="15" x14ac:dyDescent="0.25">
      <c r="B5657"/>
      <c r="C5657"/>
      <c r="D5657"/>
      <c r="E5657"/>
      <c r="F5657"/>
      <c r="G5657" s="20"/>
      <c r="H5657"/>
      <c r="I5657"/>
    </row>
    <row r="5658" spans="2:9" ht="15" x14ac:dyDescent="0.25">
      <c r="B5658"/>
      <c r="C5658"/>
      <c r="D5658"/>
      <c r="E5658"/>
      <c r="F5658"/>
      <c r="G5658" s="20"/>
      <c r="H5658"/>
      <c r="I5658"/>
    </row>
    <row r="5659" spans="2:9" ht="15" x14ac:dyDescent="0.25">
      <c r="B5659"/>
      <c r="C5659"/>
      <c r="D5659"/>
      <c r="E5659"/>
      <c r="F5659"/>
      <c r="G5659" s="20"/>
      <c r="H5659"/>
      <c r="I5659"/>
    </row>
    <row r="5660" spans="2:9" ht="15" x14ac:dyDescent="0.25">
      <c r="B5660"/>
      <c r="C5660"/>
      <c r="D5660"/>
      <c r="E5660"/>
      <c r="F5660"/>
      <c r="G5660" s="20"/>
      <c r="H5660"/>
      <c r="I5660"/>
    </row>
    <row r="5661" spans="2:9" ht="15" x14ac:dyDescent="0.25">
      <c r="B5661"/>
      <c r="C5661"/>
      <c r="D5661"/>
      <c r="E5661"/>
      <c r="F5661"/>
      <c r="G5661" s="20"/>
      <c r="H5661"/>
      <c r="I5661"/>
    </row>
    <row r="5662" spans="2:9" ht="15" x14ac:dyDescent="0.25">
      <c r="B5662"/>
      <c r="C5662"/>
      <c r="D5662"/>
      <c r="E5662"/>
      <c r="F5662"/>
      <c r="G5662" s="20"/>
      <c r="H5662"/>
      <c r="I5662"/>
    </row>
    <row r="5663" spans="2:9" ht="15" x14ac:dyDescent="0.25">
      <c r="B5663"/>
      <c r="C5663"/>
      <c r="D5663"/>
      <c r="E5663"/>
      <c r="F5663"/>
      <c r="G5663" s="20"/>
      <c r="H5663"/>
      <c r="I5663"/>
    </row>
    <row r="5664" spans="2:9" ht="15" x14ac:dyDescent="0.25">
      <c r="B5664"/>
      <c r="C5664"/>
      <c r="D5664"/>
      <c r="E5664"/>
      <c r="F5664"/>
      <c r="G5664" s="20"/>
      <c r="H5664"/>
      <c r="I5664"/>
    </row>
    <row r="5665" spans="2:9" ht="15" x14ac:dyDescent="0.25">
      <c r="B5665"/>
      <c r="C5665"/>
      <c r="D5665"/>
      <c r="E5665"/>
      <c r="F5665"/>
      <c r="G5665" s="20"/>
      <c r="H5665"/>
      <c r="I5665"/>
    </row>
    <row r="5666" spans="2:9" ht="15" x14ac:dyDescent="0.25">
      <c r="B5666"/>
      <c r="C5666"/>
      <c r="D5666"/>
      <c r="E5666"/>
      <c r="F5666"/>
      <c r="G5666" s="20"/>
      <c r="H5666"/>
      <c r="I5666"/>
    </row>
    <row r="5667" spans="2:9" ht="15" x14ac:dyDescent="0.25">
      <c r="B5667"/>
      <c r="C5667"/>
      <c r="D5667"/>
      <c r="E5667"/>
      <c r="F5667"/>
      <c r="G5667" s="20"/>
      <c r="H5667"/>
      <c r="I5667"/>
    </row>
    <row r="5668" spans="2:9" ht="15" x14ac:dyDescent="0.25">
      <c r="B5668"/>
      <c r="C5668"/>
      <c r="D5668"/>
      <c r="E5668"/>
      <c r="F5668"/>
      <c r="G5668" s="20"/>
      <c r="H5668"/>
      <c r="I5668"/>
    </row>
    <row r="5669" spans="2:9" ht="15" x14ac:dyDescent="0.25">
      <c r="B5669"/>
      <c r="C5669"/>
      <c r="D5669"/>
      <c r="E5669"/>
      <c r="F5669"/>
      <c r="G5669" s="20"/>
      <c r="H5669"/>
      <c r="I5669"/>
    </row>
    <row r="5670" spans="2:9" ht="15" x14ac:dyDescent="0.25">
      <c r="B5670"/>
      <c r="C5670"/>
      <c r="D5670"/>
      <c r="E5670"/>
      <c r="F5670"/>
      <c r="G5670" s="20"/>
      <c r="H5670"/>
      <c r="I5670"/>
    </row>
    <row r="5671" spans="2:9" ht="15" x14ac:dyDescent="0.25">
      <c r="B5671"/>
      <c r="C5671"/>
      <c r="D5671"/>
      <c r="E5671"/>
      <c r="F5671"/>
      <c r="G5671" s="20"/>
      <c r="H5671"/>
      <c r="I5671"/>
    </row>
    <row r="5672" spans="2:9" ht="15" x14ac:dyDescent="0.25">
      <c r="B5672"/>
      <c r="C5672"/>
      <c r="D5672"/>
      <c r="E5672"/>
      <c r="F5672"/>
      <c r="G5672" s="20"/>
      <c r="H5672"/>
      <c r="I5672"/>
    </row>
    <row r="5673" spans="2:9" ht="15" x14ac:dyDescent="0.25">
      <c r="B5673"/>
      <c r="C5673"/>
      <c r="D5673"/>
      <c r="E5673"/>
      <c r="F5673"/>
      <c r="G5673" s="20"/>
      <c r="H5673"/>
      <c r="I5673"/>
    </row>
    <row r="5674" spans="2:9" ht="15" x14ac:dyDescent="0.25">
      <c r="B5674"/>
      <c r="C5674"/>
      <c r="D5674"/>
      <c r="E5674"/>
      <c r="F5674"/>
      <c r="G5674" s="20"/>
      <c r="H5674"/>
      <c r="I5674"/>
    </row>
    <row r="5675" spans="2:9" ht="15" x14ac:dyDescent="0.25">
      <c r="B5675"/>
      <c r="C5675"/>
      <c r="D5675"/>
      <c r="E5675"/>
      <c r="F5675"/>
      <c r="G5675" s="20"/>
      <c r="H5675"/>
      <c r="I5675"/>
    </row>
    <row r="5676" spans="2:9" ht="15" x14ac:dyDescent="0.25">
      <c r="B5676"/>
      <c r="C5676"/>
      <c r="D5676"/>
      <c r="E5676"/>
      <c r="F5676"/>
      <c r="G5676" s="20"/>
      <c r="H5676"/>
      <c r="I5676"/>
    </row>
    <row r="5677" spans="2:9" ht="15" x14ac:dyDescent="0.25">
      <c r="B5677"/>
      <c r="C5677"/>
      <c r="D5677"/>
      <c r="E5677"/>
      <c r="F5677"/>
      <c r="G5677" s="20"/>
      <c r="H5677"/>
      <c r="I5677"/>
    </row>
    <row r="5678" spans="2:9" ht="15" x14ac:dyDescent="0.25">
      <c r="B5678"/>
      <c r="C5678"/>
      <c r="D5678"/>
      <c r="E5678"/>
      <c r="F5678"/>
      <c r="G5678" s="20"/>
      <c r="H5678"/>
      <c r="I5678"/>
    </row>
    <row r="5679" spans="2:9" ht="15" x14ac:dyDescent="0.25">
      <c r="B5679"/>
      <c r="C5679"/>
      <c r="D5679"/>
      <c r="E5679"/>
      <c r="F5679"/>
      <c r="G5679" s="20"/>
      <c r="H5679"/>
      <c r="I5679"/>
    </row>
    <row r="5680" spans="2:9" ht="15" x14ac:dyDescent="0.25">
      <c r="B5680"/>
      <c r="C5680"/>
      <c r="D5680"/>
      <c r="E5680"/>
      <c r="F5680"/>
      <c r="G5680" s="20"/>
      <c r="H5680"/>
      <c r="I5680"/>
    </row>
    <row r="5681" spans="2:9" ht="15" x14ac:dyDescent="0.25">
      <c r="B5681"/>
      <c r="C5681"/>
      <c r="D5681"/>
      <c r="E5681"/>
      <c r="F5681"/>
      <c r="G5681" s="20"/>
      <c r="H5681"/>
      <c r="I5681"/>
    </row>
    <row r="5682" spans="2:9" ht="15" x14ac:dyDescent="0.25">
      <c r="B5682"/>
      <c r="C5682"/>
      <c r="D5682"/>
      <c r="E5682"/>
      <c r="F5682"/>
      <c r="G5682" s="20"/>
      <c r="H5682"/>
      <c r="I5682"/>
    </row>
    <row r="5683" spans="2:9" ht="15" x14ac:dyDescent="0.25">
      <c r="B5683"/>
      <c r="C5683"/>
      <c r="D5683"/>
      <c r="E5683"/>
      <c r="F5683"/>
      <c r="G5683" s="20"/>
      <c r="H5683"/>
      <c r="I5683"/>
    </row>
    <row r="5684" spans="2:9" ht="15" x14ac:dyDescent="0.25">
      <c r="B5684"/>
      <c r="C5684"/>
      <c r="D5684"/>
      <c r="E5684"/>
      <c r="F5684"/>
      <c r="G5684" s="20"/>
      <c r="H5684"/>
      <c r="I5684"/>
    </row>
    <row r="5685" spans="2:9" ht="15" x14ac:dyDescent="0.25">
      <c r="B5685"/>
      <c r="C5685"/>
      <c r="D5685"/>
      <c r="E5685"/>
      <c r="F5685"/>
      <c r="G5685" s="20"/>
      <c r="H5685"/>
      <c r="I5685"/>
    </row>
    <row r="5686" spans="2:9" ht="15" x14ac:dyDescent="0.25">
      <c r="B5686"/>
      <c r="C5686"/>
      <c r="D5686"/>
      <c r="E5686"/>
      <c r="F5686"/>
      <c r="G5686" s="20"/>
      <c r="H5686"/>
      <c r="I5686"/>
    </row>
    <row r="5687" spans="2:9" ht="15" x14ac:dyDescent="0.25">
      <c r="B5687"/>
      <c r="C5687"/>
      <c r="D5687"/>
      <c r="E5687"/>
      <c r="F5687"/>
      <c r="G5687" s="20"/>
      <c r="H5687"/>
      <c r="I5687"/>
    </row>
    <row r="5688" spans="2:9" ht="15" x14ac:dyDescent="0.25">
      <c r="B5688"/>
      <c r="C5688"/>
      <c r="D5688"/>
      <c r="E5688"/>
      <c r="F5688"/>
      <c r="G5688" s="20"/>
      <c r="H5688"/>
      <c r="I5688"/>
    </row>
    <row r="5689" spans="2:9" ht="15" x14ac:dyDescent="0.25">
      <c r="B5689"/>
      <c r="C5689"/>
      <c r="D5689"/>
      <c r="E5689"/>
      <c r="F5689"/>
      <c r="G5689" s="20"/>
      <c r="H5689"/>
      <c r="I5689"/>
    </row>
    <row r="5690" spans="2:9" ht="15" x14ac:dyDescent="0.25">
      <c r="B5690"/>
      <c r="C5690"/>
      <c r="D5690"/>
      <c r="E5690"/>
      <c r="F5690"/>
      <c r="G5690" s="20"/>
      <c r="H5690"/>
      <c r="I5690"/>
    </row>
    <row r="5691" spans="2:9" ht="15" x14ac:dyDescent="0.25">
      <c r="B5691"/>
      <c r="C5691"/>
      <c r="D5691"/>
      <c r="E5691"/>
      <c r="F5691"/>
      <c r="G5691" s="20"/>
      <c r="H5691"/>
      <c r="I5691"/>
    </row>
    <row r="5692" spans="2:9" ht="15" x14ac:dyDescent="0.25">
      <c r="B5692"/>
      <c r="C5692"/>
      <c r="D5692"/>
      <c r="E5692"/>
      <c r="F5692"/>
      <c r="G5692" s="20"/>
      <c r="H5692"/>
      <c r="I5692"/>
    </row>
    <row r="5693" spans="2:9" ht="15" x14ac:dyDescent="0.25">
      <c r="B5693"/>
      <c r="C5693"/>
      <c r="D5693"/>
      <c r="E5693"/>
      <c r="F5693"/>
      <c r="G5693" s="20"/>
      <c r="H5693"/>
      <c r="I5693"/>
    </row>
    <row r="5694" spans="2:9" ht="15" x14ac:dyDescent="0.25">
      <c r="B5694"/>
      <c r="C5694"/>
      <c r="D5694"/>
      <c r="E5694"/>
      <c r="F5694"/>
      <c r="G5694" s="20"/>
      <c r="H5694"/>
      <c r="I5694"/>
    </row>
    <row r="5695" spans="2:9" ht="15" x14ac:dyDescent="0.25">
      <c r="B5695"/>
      <c r="C5695"/>
      <c r="D5695"/>
      <c r="E5695"/>
      <c r="F5695"/>
      <c r="G5695" s="20"/>
      <c r="H5695"/>
      <c r="I5695"/>
    </row>
    <row r="5696" spans="2:9" ht="15" x14ac:dyDescent="0.25">
      <c r="B5696"/>
      <c r="C5696"/>
      <c r="D5696"/>
      <c r="E5696"/>
      <c r="F5696"/>
      <c r="G5696" s="20"/>
      <c r="H5696"/>
      <c r="I5696"/>
    </row>
    <row r="5697" spans="2:9" ht="15" x14ac:dyDescent="0.25">
      <c r="B5697"/>
      <c r="C5697"/>
      <c r="D5697"/>
      <c r="E5697"/>
      <c r="F5697"/>
      <c r="G5697" s="20"/>
      <c r="H5697"/>
      <c r="I5697"/>
    </row>
    <row r="5698" spans="2:9" ht="15" x14ac:dyDescent="0.25">
      <c r="B5698"/>
      <c r="C5698"/>
      <c r="D5698"/>
      <c r="E5698"/>
      <c r="F5698"/>
      <c r="G5698" s="20"/>
      <c r="H5698"/>
      <c r="I5698"/>
    </row>
    <row r="5699" spans="2:9" ht="15" x14ac:dyDescent="0.25">
      <c r="B5699"/>
      <c r="C5699"/>
      <c r="D5699"/>
      <c r="E5699"/>
      <c r="F5699"/>
      <c r="G5699" s="20"/>
      <c r="H5699"/>
      <c r="I5699"/>
    </row>
    <row r="5700" spans="2:9" ht="15" x14ac:dyDescent="0.25">
      <c r="B5700"/>
      <c r="C5700"/>
      <c r="D5700"/>
      <c r="E5700"/>
      <c r="F5700"/>
      <c r="G5700" s="20"/>
      <c r="H5700"/>
      <c r="I5700"/>
    </row>
    <row r="5701" spans="2:9" ht="15" x14ac:dyDescent="0.25">
      <c r="B5701"/>
      <c r="C5701"/>
      <c r="D5701"/>
      <c r="E5701"/>
      <c r="F5701"/>
      <c r="G5701" s="20"/>
      <c r="H5701"/>
      <c r="I5701"/>
    </row>
    <row r="5702" spans="2:9" ht="15" x14ac:dyDescent="0.25">
      <c r="B5702"/>
      <c r="C5702"/>
      <c r="D5702"/>
      <c r="E5702"/>
      <c r="F5702"/>
      <c r="G5702" s="20"/>
      <c r="H5702"/>
      <c r="I5702"/>
    </row>
    <row r="5703" spans="2:9" ht="15" x14ac:dyDescent="0.25">
      <c r="B5703"/>
      <c r="C5703"/>
      <c r="D5703"/>
      <c r="E5703"/>
      <c r="F5703"/>
      <c r="G5703" s="20"/>
      <c r="H5703"/>
      <c r="I5703"/>
    </row>
    <row r="5704" spans="2:9" ht="15" x14ac:dyDescent="0.25">
      <c r="B5704"/>
      <c r="C5704"/>
      <c r="D5704"/>
      <c r="E5704"/>
      <c r="F5704"/>
      <c r="G5704" s="20"/>
      <c r="H5704"/>
      <c r="I5704"/>
    </row>
    <row r="5705" spans="2:9" ht="15" x14ac:dyDescent="0.25">
      <c r="B5705"/>
      <c r="C5705"/>
      <c r="D5705"/>
      <c r="E5705"/>
      <c r="F5705"/>
      <c r="G5705" s="20"/>
      <c r="H5705"/>
      <c r="I5705"/>
    </row>
    <row r="5706" spans="2:9" ht="15" x14ac:dyDescent="0.25">
      <c r="B5706"/>
      <c r="C5706"/>
      <c r="D5706"/>
      <c r="E5706"/>
      <c r="F5706"/>
      <c r="G5706" s="20"/>
      <c r="H5706"/>
      <c r="I5706"/>
    </row>
    <row r="5707" spans="2:9" ht="15" x14ac:dyDescent="0.25">
      <c r="B5707"/>
      <c r="C5707"/>
      <c r="D5707"/>
      <c r="E5707"/>
      <c r="F5707"/>
      <c r="G5707" s="20"/>
      <c r="H5707"/>
      <c r="I5707"/>
    </row>
    <row r="5708" spans="2:9" ht="15" x14ac:dyDescent="0.25">
      <c r="B5708"/>
      <c r="C5708"/>
      <c r="D5708"/>
      <c r="E5708"/>
      <c r="F5708"/>
      <c r="G5708" s="20"/>
      <c r="H5708"/>
      <c r="I5708"/>
    </row>
    <row r="5709" spans="2:9" ht="15" x14ac:dyDescent="0.25">
      <c r="B5709"/>
      <c r="C5709"/>
      <c r="D5709"/>
      <c r="E5709"/>
      <c r="F5709"/>
      <c r="G5709" s="20"/>
      <c r="H5709"/>
      <c r="I5709"/>
    </row>
    <row r="5710" spans="2:9" ht="15" x14ac:dyDescent="0.25">
      <c r="B5710"/>
      <c r="C5710"/>
      <c r="D5710"/>
      <c r="E5710"/>
      <c r="F5710"/>
      <c r="G5710" s="20"/>
      <c r="H5710"/>
      <c r="I5710"/>
    </row>
    <row r="5711" spans="2:9" ht="15" x14ac:dyDescent="0.25">
      <c r="B5711"/>
      <c r="C5711"/>
      <c r="D5711"/>
      <c r="E5711"/>
      <c r="F5711"/>
      <c r="G5711" s="20"/>
      <c r="H5711"/>
      <c r="I5711"/>
    </row>
    <row r="5712" spans="2:9" ht="15" x14ac:dyDescent="0.25">
      <c r="B5712"/>
      <c r="C5712"/>
      <c r="D5712"/>
      <c r="E5712"/>
      <c r="F5712"/>
      <c r="G5712" s="20"/>
      <c r="H5712"/>
      <c r="I5712"/>
    </row>
    <row r="5713" spans="2:9" ht="15" x14ac:dyDescent="0.25">
      <c r="B5713"/>
      <c r="C5713"/>
      <c r="D5713"/>
      <c r="E5713"/>
      <c r="F5713"/>
      <c r="G5713" s="20"/>
      <c r="H5713"/>
      <c r="I5713"/>
    </row>
    <row r="5714" spans="2:9" ht="15" x14ac:dyDescent="0.25">
      <c r="B5714"/>
      <c r="C5714"/>
      <c r="D5714"/>
      <c r="E5714"/>
      <c r="F5714"/>
      <c r="G5714" s="20"/>
      <c r="H5714"/>
      <c r="I5714"/>
    </row>
    <row r="5715" spans="2:9" ht="15" x14ac:dyDescent="0.25">
      <c r="B5715"/>
      <c r="C5715"/>
      <c r="D5715"/>
      <c r="E5715"/>
      <c r="F5715"/>
      <c r="G5715" s="20"/>
      <c r="H5715"/>
      <c r="I5715"/>
    </row>
    <row r="5716" spans="2:9" ht="15" x14ac:dyDescent="0.25">
      <c r="B5716"/>
      <c r="C5716"/>
      <c r="D5716"/>
      <c r="E5716"/>
      <c r="F5716"/>
      <c r="G5716" s="20"/>
      <c r="H5716"/>
      <c r="I5716"/>
    </row>
    <row r="5717" spans="2:9" ht="15" x14ac:dyDescent="0.25">
      <c r="B5717"/>
      <c r="C5717"/>
      <c r="D5717"/>
      <c r="E5717"/>
      <c r="F5717"/>
      <c r="G5717" s="20"/>
      <c r="H5717"/>
      <c r="I5717"/>
    </row>
    <row r="5718" spans="2:9" ht="15" x14ac:dyDescent="0.25">
      <c r="B5718"/>
      <c r="C5718"/>
      <c r="D5718"/>
      <c r="E5718"/>
      <c r="F5718"/>
      <c r="G5718" s="20"/>
      <c r="H5718"/>
      <c r="I5718"/>
    </row>
    <row r="5719" spans="2:9" ht="15" x14ac:dyDescent="0.25">
      <c r="B5719"/>
      <c r="C5719"/>
      <c r="D5719"/>
      <c r="E5719"/>
      <c r="F5719"/>
      <c r="G5719" s="20"/>
      <c r="H5719"/>
      <c r="I5719"/>
    </row>
    <row r="5720" spans="2:9" ht="15" x14ac:dyDescent="0.25">
      <c r="B5720"/>
      <c r="C5720"/>
      <c r="D5720"/>
      <c r="E5720"/>
      <c r="F5720"/>
      <c r="G5720" s="20"/>
      <c r="H5720"/>
      <c r="I5720"/>
    </row>
    <row r="5721" spans="2:9" ht="15" x14ac:dyDescent="0.25">
      <c r="B5721"/>
      <c r="C5721"/>
      <c r="D5721"/>
      <c r="E5721"/>
      <c r="F5721"/>
      <c r="G5721" s="20"/>
      <c r="H5721"/>
      <c r="I5721"/>
    </row>
    <row r="5722" spans="2:9" ht="15" x14ac:dyDescent="0.25">
      <c r="B5722"/>
      <c r="C5722"/>
      <c r="D5722"/>
      <c r="E5722"/>
      <c r="F5722"/>
      <c r="G5722" s="20"/>
      <c r="H5722"/>
      <c r="I5722"/>
    </row>
    <row r="5723" spans="2:9" ht="15" x14ac:dyDescent="0.25">
      <c r="B5723"/>
      <c r="C5723"/>
      <c r="D5723"/>
      <c r="E5723"/>
      <c r="F5723"/>
      <c r="G5723" s="20"/>
      <c r="H5723"/>
      <c r="I5723"/>
    </row>
    <row r="5724" spans="2:9" ht="15" x14ac:dyDescent="0.25">
      <c r="B5724"/>
      <c r="C5724"/>
      <c r="D5724"/>
      <c r="E5724"/>
      <c r="F5724"/>
      <c r="G5724" s="20"/>
      <c r="H5724"/>
      <c r="I5724"/>
    </row>
    <row r="5725" spans="2:9" ht="15" x14ac:dyDescent="0.25">
      <c r="B5725"/>
      <c r="C5725"/>
      <c r="D5725"/>
      <c r="E5725"/>
      <c r="F5725"/>
      <c r="G5725" s="20"/>
      <c r="H5725"/>
      <c r="I5725"/>
    </row>
    <row r="5726" spans="2:9" ht="15" x14ac:dyDescent="0.25">
      <c r="B5726"/>
      <c r="C5726"/>
      <c r="D5726"/>
      <c r="E5726"/>
      <c r="F5726"/>
      <c r="G5726" s="20"/>
      <c r="H5726"/>
      <c r="I5726"/>
    </row>
    <row r="5727" spans="2:9" ht="15" x14ac:dyDescent="0.25">
      <c r="B5727"/>
      <c r="C5727"/>
      <c r="D5727"/>
      <c r="E5727"/>
      <c r="F5727"/>
      <c r="G5727" s="20"/>
      <c r="H5727"/>
      <c r="I5727"/>
    </row>
    <row r="5728" spans="2:9" ht="15" x14ac:dyDescent="0.25">
      <c r="B5728"/>
      <c r="C5728"/>
      <c r="D5728"/>
      <c r="E5728"/>
      <c r="F5728"/>
      <c r="G5728" s="20"/>
      <c r="H5728"/>
      <c r="I5728"/>
    </row>
    <row r="5729" spans="2:9" ht="15" x14ac:dyDescent="0.25">
      <c r="B5729"/>
      <c r="C5729"/>
      <c r="D5729"/>
      <c r="E5729"/>
      <c r="F5729"/>
      <c r="G5729" s="20"/>
      <c r="H5729"/>
      <c r="I5729"/>
    </row>
    <row r="5730" spans="2:9" ht="15" x14ac:dyDescent="0.25">
      <c r="B5730"/>
      <c r="C5730"/>
      <c r="D5730"/>
      <c r="E5730"/>
      <c r="F5730"/>
      <c r="G5730" s="20"/>
      <c r="H5730"/>
      <c r="I5730"/>
    </row>
    <row r="5731" spans="2:9" ht="15" x14ac:dyDescent="0.25">
      <c r="B5731"/>
      <c r="C5731"/>
      <c r="D5731"/>
      <c r="E5731"/>
      <c r="F5731"/>
      <c r="G5731" s="20"/>
      <c r="H5731"/>
      <c r="I5731"/>
    </row>
    <row r="5732" spans="2:9" ht="15" x14ac:dyDescent="0.25">
      <c r="B5732"/>
      <c r="C5732"/>
      <c r="D5732"/>
      <c r="E5732"/>
      <c r="F5732"/>
      <c r="G5732" s="20"/>
      <c r="H5732"/>
      <c r="I5732"/>
    </row>
    <row r="5733" spans="2:9" ht="15" x14ac:dyDescent="0.25">
      <c r="B5733"/>
      <c r="C5733"/>
      <c r="D5733"/>
      <c r="E5733"/>
      <c r="F5733"/>
      <c r="G5733" s="20"/>
      <c r="H5733"/>
      <c r="I5733"/>
    </row>
    <row r="5734" spans="2:9" ht="15" x14ac:dyDescent="0.25">
      <c r="B5734"/>
      <c r="C5734"/>
      <c r="D5734"/>
      <c r="E5734"/>
      <c r="F5734"/>
      <c r="G5734" s="20"/>
      <c r="H5734"/>
      <c r="I5734"/>
    </row>
    <row r="5735" spans="2:9" ht="15" x14ac:dyDescent="0.25">
      <c r="B5735"/>
      <c r="C5735"/>
      <c r="D5735"/>
      <c r="E5735"/>
      <c r="F5735"/>
      <c r="G5735" s="20"/>
      <c r="H5735"/>
      <c r="I5735"/>
    </row>
    <row r="5736" spans="2:9" ht="15" x14ac:dyDescent="0.25">
      <c r="B5736"/>
      <c r="C5736"/>
      <c r="D5736"/>
      <c r="E5736"/>
      <c r="F5736"/>
      <c r="G5736" s="20"/>
      <c r="H5736"/>
      <c r="I5736"/>
    </row>
    <row r="5737" spans="2:9" ht="15" x14ac:dyDescent="0.25">
      <c r="B5737"/>
      <c r="C5737"/>
      <c r="D5737"/>
      <c r="E5737"/>
      <c r="F5737"/>
      <c r="G5737" s="20"/>
      <c r="H5737"/>
      <c r="I5737"/>
    </row>
    <row r="5738" spans="2:9" ht="15" x14ac:dyDescent="0.25">
      <c r="B5738"/>
      <c r="C5738"/>
      <c r="D5738"/>
      <c r="E5738"/>
      <c r="F5738"/>
      <c r="G5738" s="20"/>
      <c r="H5738"/>
      <c r="I5738"/>
    </row>
    <row r="5739" spans="2:9" ht="15" x14ac:dyDescent="0.25">
      <c r="B5739"/>
      <c r="C5739"/>
      <c r="D5739"/>
      <c r="E5739"/>
      <c r="F5739"/>
      <c r="G5739" s="20"/>
      <c r="H5739"/>
      <c r="I5739"/>
    </row>
    <row r="5740" spans="2:9" ht="15" x14ac:dyDescent="0.25">
      <c r="B5740"/>
      <c r="C5740"/>
      <c r="D5740"/>
      <c r="E5740"/>
      <c r="F5740"/>
      <c r="G5740" s="20"/>
      <c r="H5740"/>
      <c r="I5740"/>
    </row>
    <row r="5741" spans="2:9" ht="15" x14ac:dyDescent="0.25">
      <c r="B5741"/>
      <c r="C5741"/>
      <c r="D5741"/>
      <c r="E5741"/>
      <c r="F5741"/>
      <c r="G5741" s="20"/>
      <c r="H5741"/>
      <c r="I5741"/>
    </row>
    <row r="5742" spans="2:9" ht="15" x14ac:dyDescent="0.25">
      <c r="B5742"/>
      <c r="C5742"/>
      <c r="D5742"/>
      <c r="E5742"/>
      <c r="F5742"/>
      <c r="G5742" s="20"/>
      <c r="H5742"/>
      <c r="I5742"/>
    </row>
    <row r="5743" spans="2:9" ht="15" x14ac:dyDescent="0.25">
      <c r="B5743"/>
      <c r="C5743"/>
      <c r="D5743"/>
      <c r="E5743"/>
      <c r="F5743"/>
      <c r="G5743" s="20"/>
      <c r="H5743"/>
      <c r="I5743"/>
    </row>
    <row r="5744" spans="2:9" ht="15" x14ac:dyDescent="0.25">
      <c r="B5744"/>
      <c r="C5744"/>
      <c r="D5744"/>
      <c r="E5744"/>
      <c r="F5744"/>
      <c r="G5744" s="20"/>
      <c r="H5744"/>
      <c r="I5744"/>
    </row>
    <row r="5745" spans="2:9" ht="15" x14ac:dyDescent="0.25">
      <c r="B5745"/>
      <c r="C5745"/>
      <c r="D5745"/>
      <c r="E5745"/>
      <c r="F5745"/>
      <c r="G5745" s="20"/>
      <c r="H5745"/>
      <c r="I5745"/>
    </row>
    <row r="5746" spans="2:9" ht="15" x14ac:dyDescent="0.25">
      <c r="B5746"/>
      <c r="C5746"/>
      <c r="D5746"/>
      <c r="E5746"/>
      <c r="F5746"/>
      <c r="G5746" s="20"/>
      <c r="H5746"/>
      <c r="I5746"/>
    </row>
    <row r="5747" spans="2:9" ht="15" x14ac:dyDescent="0.25">
      <c r="B5747"/>
      <c r="C5747"/>
      <c r="D5747"/>
      <c r="E5747"/>
      <c r="F5747"/>
      <c r="G5747" s="20"/>
      <c r="H5747"/>
      <c r="I5747"/>
    </row>
    <row r="5748" spans="2:9" ht="15" x14ac:dyDescent="0.25">
      <c r="B5748"/>
      <c r="C5748"/>
      <c r="D5748"/>
      <c r="E5748"/>
      <c r="F5748"/>
      <c r="G5748" s="20"/>
      <c r="H5748"/>
      <c r="I5748"/>
    </row>
    <row r="5749" spans="2:9" ht="15" x14ac:dyDescent="0.25">
      <c r="B5749"/>
      <c r="C5749"/>
      <c r="D5749"/>
      <c r="E5749"/>
      <c r="F5749"/>
      <c r="G5749" s="20"/>
      <c r="H5749"/>
      <c r="I5749"/>
    </row>
    <row r="5750" spans="2:9" ht="15" x14ac:dyDescent="0.25">
      <c r="B5750"/>
      <c r="C5750"/>
      <c r="D5750"/>
      <c r="E5750"/>
      <c r="F5750"/>
      <c r="G5750" s="20"/>
      <c r="H5750"/>
      <c r="I5750"/>
    </row>
    <row r="5751" spans="2:9" ht="15" x14ac:dyDescent="0.25">
      <c r="B5751"/>
      <c r="C5751"/>
      <c r="D5751"/>
      <c r="E5751"/>
      <c r="F5751"/>
      <c r="G5751" s="20"/>
      <c r="H5751"/>
      <c r="I5751"/>
    </row>
    <row r="5752" spans="2:9" ht="15" x14ac:dyDescent="0.25">
      <c r="B5752"/>
      <c r="C5752"/>
      <c r="D5752"/>
      <c r="E5752"/>
      <c r="F5752"/>
      <c r="G5752" s="20"/>
      <c r="H5752"/>
      <c r="I5752"/>
    </row>
    <row r="5753" spans="2:9" ht="15" x14ac:dyDescent="0.25">
      <c r="B5753"/>
      <c r="C5753"/>
      <c r="D5753"/>
      <c r="E5753"/>
      <c r="F5753"/>
      <c r="G5753" s="20"/>
      <c r="H5753"/>
      <c r="I5753"/>
    </row>
    <row r="5754" spans="2:9" ht="15" x14ac:dyDescent="0.25">
      <c r="B5754"/>
      <c r="C5754"/>
      <c r="D5754"/>
      <c r="E5754"/>
      <c r="F5754"/>
      <c r="G5754" s="20"/>
      <c r="H5754"/>
      <c r="I5754"/>
    </row>
    <row r="5755" spans="2:9" ht="15" x14ac:dyDescent="0.25">
      <c r="B5755"/>
      <c r="C5755"/>
      <c r="D5755"/>
      <c r="E5755"/>
      <c r="F5755"/>
      <c r="G5755" s="20"/>
      <c r="H5755"/>
      <c r="I5755"/>
    </row>
    <row r="5756" spans="2:9" ht="15" x14ac:dyDescent="0.25">
      <c r="B5756"/>
      <c r="C5756"/>
      <c r="D5756"/>
      <c r="E5756"/>
      <c r="F5756"/>
      <c r="G5756" s="20"/>
      <c r="H5756"/>
      <c r="I5756"/>
    </row>
    <row r="5757" spans="2:9" ht="15" x14ac:dyDescent="0.25">
      <c r="B5757"/>
      <c r="C5757"/>
      <c r="D5757"/>
      <c r="E5757"/>
      <c r="F5757"/>
      <c r="G5757" s="20"/>
      <c r="H5757"/>
      <c r="I5757"/>
    </row>
    <row r="5758" spans="2:9" ht="15" x14ac:dyDescent="0.25">
      <c r="B5758"/>
      <c r="C5758"/>
      <c r="D5758"/>
      <c r="E5758"/>
      <c r="F5758"/>
      <c r="G5758" s="20"/>
      <c r="H5758"/>
      <c r="I5758"/>
    </row>
    <row r="5759" spans="2:9" ht="15" x14ac:dyDescent="0.25">
      <c r="B5759"/>
      <c r="C5759"/>
      <c r="D5759"/>
      <c r="E5759"/>
      <c r="F5759"/>
      <c r="G5759" s="20"/>
      <c r="H5759"/>
      <c r="I5759"/>
    </row>
    <row r="5760" spans="2:9" ht="15" x14ac:dyDescent="0.25">
      <c r="B5760"/>
      <c r="C5760"/>
      <c r="D5760"/>
      <c r="E5760"/>
      <c r="F5760"/>
      <c r="G5760" s="20"/>
      <c r="H5760"/>
      <c r="I5760"/>
    </row>
    <row r="5761" spans="2:9" ht="15" x14ac:dyDescent="0.25">
      <c r="B5761"/>
      <c r="C5761"/>
      <c r="D5761"/>
      <c r="E5761"/>
      <c r="F5761"/>
      <c r="G5761" s="20"/>
      <c r="H5761"/>
      <c r="I5761"/>
    </row>
    <row r="5762" spans="2:9" ht="15" x14ac:dyDescent="0.25">
      <c r="B5762"/>
      <c r="C5762"/>
      <c r="D5762"/>
      <c r="E5762"/>
      <c r="F5762"/>
      <c r="G5762" s="20"/>
      <c r="H5762"/>
      <c r="I5762"/>
    </row>
    <row r="5763" spans="2:9" ht="15" x14ac:dyDescent="0.25">
      <c r="B5763"/>
      <c r="C5763"/>
      <c r="D5763"/>
      <c r="E5763"/>
      <c r="F5763"/>
      <c r="G5763" s="20"/>
      <c r="H5763"/>
      <c r="I5763"/>
    </row>
    <row r="5764" spans="2:9" ht="15" x14ac:dyDescent="0.25">
      <c r="B5764"/>
      <c r="C5764"/>
      <c r="D5764"/>
      <c r="E5764"/>
      <c r="F5764"/>
      <c r="G5764" s="20"/>
      <c r="H5764"/>
      <c r="I5764"/>
    </row>
    <row r="5765" spans="2:9" ht="15" x14ac:dyDescent="0.25">
      <c r="B5765"/>
      <c r="C5765"/>
      <c r="D5765"/>
      <c r="E5765"/>
      <c r="F5765"/>
      <c r="G5765" s="20"/>
      <c r="H5765"/>
      <c r="I5765"/>
    </row>
    <row r="5766" spans="2:9" ht="15" x14ac:dyDescent="0.25">
      <c r="B5766"/>
      <c r="C5766"/>
      <c r="D5766"/>
      <c r="E5766"/>
      <c r="F5766"/>
      <c r="G5766" s="20"/>
      <c r="H5766"/>
      <c r="I5766"/>
    </row>
    <row r="5767" spans="2:9" ht="15" x14ac:dyDescent="0.25">
      <c r="B5767"/>
      <c r="C5767"/>
      <c r="D5767"/>
      <c r="E5767"/>
      <c r="F5767"/>
      <c r="G5767" s="20"/>
      <c r="H5767"/>
      <c r="I5767"/>
    </row>
    <row r="5768" spans="2:9" ht="15" x14ac:dyDescent="0.25">
      <c r="B5768"/>
      <c r="C5768"/>
      <c r="D5768"/>
      <c r="E5768"/>
      <c r="F5768"/>
      <c r="G5768" s="20"/>
      <c r="H5768"/>
      <c r="I5768"/>
    </row>
    <row r="5769" spans="2:9" ht="15" x14ac:dyDescent="0.25">
      <c r="B5769"/>
      <c r="C5769"/>
      <c r="D5769"/>
      <c r="E5769"/>
      <c r="F5769"/>
      <c r="G5769" s="20"/>
      <c r="H5769"/>
      <c r="I5769"/>
    </row>
    <row r="5770" spans="2:9" ht="15" x14ac:dyDescent="0.25">
      <c r="B5770"/>
      <c r="C5770"/>
      <c r="D5770"/>
      <c r="E5770"/>
      <c r="F5770"/>
      <c r="G5770" s="20"/>
      <c r="H5770"/>
      <c r="I5770"/>
    </row>
    <row r="5771" spans="2:9" ht="15" x14ac:dyDescent="0.25">
      <c r="B5771"/>
      <c r="C5771"/>
      <c r="D5771"/>
      <c r="E5771"/>
      <c r="F5771"/>
      <c r="G5771" s="20"/>
      <c r="H5771"/>
      <c r="I5771"/>
    </row>
    <row r="5772" spans="2:9" ht="15" x14ac:dyDescent="0.25">
      <c r="B5772"/>
      <c r="C5772"/>
      <c r="D5772"/>
      <c r="E5772"/>
      <c r="F5772"/>
      <c r="G5772" s="20"/>
      <c r="H5772"/>
      <c r="I5772"/>
    </row>
    <row r="5773" spans="2:9" ht="15" x14ac:dyDescent="0.25">
      <c r="B5773"/>
      <c r="C5773"/>
      <c r="D5773"/>
      <c r="E5773"/>
      <c r="F5773"/>
      <c r="G5773" s="20"/>
      <c r="H5773"/>
      <c r="I5773"/>
    </row>
    <row r="5774" spans="2:9" ht="15" x14ac:dyDescent="0.25">
      <c r="B5774"/>
      <c r="C5774"/>
      <c r="D5774"/>
      <c r="E5774"/>
      <c r="F5774"/>
      <c r="G5774" s="20"/>
      <c r="H5774"/>
      <c r="I5774"/>
    </row>
    <row r="5775" spans="2:9" ht="15" x14ac:dyDescent="0.25">
      <c r="B5775"/>
      <c r="C5775"/>
      <c r="D5775"/>
      <c r="E5775"/>
      <c r="F5775"/>
      <c r="G5775" s="20"/>
      <c r="H5775"/>
      <c r="I5775"/>
    </row>
    <row r="5776" spans="2:9" ht="15" x14ac:dyDescent="0.25">
      <c r="B5776"/>
      <c r="C5776"/>
      <c r="D5776"/>
      <c r="E5776"/>
      <c r="F5776"/>
      <c r="G5776" s="20"/>
      <c r="H5776"/>
      <c r="I5776"/>
    </row>
    <row r="5777" spans="2:9" ht="15" x14ac:dyDescent="0.25">
      <c r="B5777"/>
      <c r="C5777"/>
      <c r="D5777"/>
      <c r="E5777"/>
      <c r="F5777"/>
      <c r="G5777" s="20"/>
      <c r="H5777"/>
      <c r="I5777"/>
    </row>
    <row r="5778" spans="2:9" ht="15" x14ac:dyDescent="0.25">
      <c r="B5778"/>
      <c r="C5778"/>
      <c r="D5778"/>
      <c r="E5778"/>
      <c r="F5778"/>
      <c r="G5778" s="20"/>
      <c r="H5778"/>
      <c r="I5778"/>
    </row>
    <row r="5779" spans="2:9" ht="15" x14ac:dyDescent="0.25">
      <c r="B5779"/>
      <c r="C5779"/>
      <c r="D5779"/>
      <c r="E5779"/>
      <c r="F5779"/>
      <c r="G5779" s="20"/>
      <c r="H5779"/>
      <c r="I5779"/>
    </row>
    <row r="5780" spans="2:9" ht="15" x14ac:dyDescent="0.25">
      <c r="B5780"/>
      <c r="C5780"/>
      <c r="D5780"/>
      <c r="E5780"/>
      <c r="F5780"/>
      <c r="G5780" s="20"/>
      <c r="H5780"/>
      <c r="I5780"/>
    </row>
    <row r="5781" spans="2:9" ht="15" x14ac:dyDescent="0.25">
      <c r="B5781"/>
      <c r="C5781"/>
      <c r="D5781"/>
      <c r="E5781"/>
      <c r="F5781"/>
      <c r="G5781" s="20"/>
      <c r="H5781"/>
      <c r="I5781"/>
    </row>
    <row r="5782" spans="2:9" ht="15" x14ac:dyDescent="0.25">
      <c r="B5782"/>
      <c r="C5782"/>
      <c r="D5782"/>
      <c r="E5782"/>
      <c r="F5782"/>
      <c r="G5782" s="20"/>
      <c r="H5782"/>
      <c r="I5782"/>
    </row>
    <row r="5783" spans="2:9" ht="15" x14ac:dyDescent="0.25">
      <c r="B5783"/>
      <c r="C5783"/>
      <c r="D5783"/>
      <c r="E5783"/>
      <c r="F5783"/>
      <c r="G5783" s="20"/>
      <c r="H5783"/>
      <c r="I5783"/>
    </row>
    <row r="5784" spans="2:9" ht="15" x14ac:dyDescent="0.25">
      <c r="B5784"/>
      <c r="C5784"/>
      <c r="D5784"/>
      <c r="E5784"/>
      <c r="F5784"/>
      <c r="G5784" s="20"/>
      <c r="H5784"/>
      <c r="I5784"/>
    </row>
    <row r="5785" spans="2:9" ht="15" x14ac:dyDescent="0.25">
      <c r="B5785"/>
      <c r="C5785"/>
      <c r="D5785"/>
      <c r="E5785"/>
      <c r="F5785"/>
      <c r="G5785" s="20"/>
      <c r="H5785"/>
      <c r="I5785"/>
    </row>
    <row r="5786" spans="2:9" ht="15" x14ac:dyDescent="0.25">
      <c r="B5786"/>
      <c r="C5786"/>
      <c r="D5786"/>
      <c r="E5786"/>
      <c r="F5786"/>
      <c r="G5786" s="20"/>
      <c r="H5786"/>
      <c r="I5786"/>
    </row>
    <row r="5787" spans="2:9" ht="15" x14ac:dyDescent="0.25">
      <c r="B5787"/>
      <c r="C5787"/>
      <c r="D5787"/>
      <c r="E5787"/>
      <c r="F5787"/>
      <c r="G5787" s="20"/>
      <c r="H5787"/>
      <c r="I5787"/>
    </row>
    <row r="5788" spans="2:9" ht="15" x14ac:dyDescent="0.25">
      <c r="B5788"/>
      <c r="C5788"/>
      <c r="D5788"/>
      <c r="E5788"/>
      <c r="F5788"/>
      <c r="G5788" s="20"/>
      <c r="H5788"/>
      <c r="I5788"/>
    </row>
    <row r="5789" spans="2:9" ht="15" x14ac:dyDescent="0.25">
      <c r="B5789"/>
      <c r="C5789"/>
      <c r="D5789"/>
      <c r="E5789"/>
      <c r="F5789"/>
      <c r="G5789" s="20"/>
      <c r="H5789"/>
      <c r="I5789"/>
    </row>
    <row r="5790" spans="2:9" ht="15" x14ac:dyDescent="0.25">
      <c r="B5790"/>
      <c r="C5790"/>
      <c r="D5790"/>
      <c r="E5790"/>
      <c r="F5790"/>
      <c r="G5790" s="20"/>
      <c r="H5790"/>
      <c r="I5790"/>
    </row>
    <row r="5791" spans="2:9" ht="15" x14ac:dyDescent="0.25">
      <c r="B5791"/>
      <c r="C5791"/>
      <c r="D5791"/>
      <c r="E5791"/>
      <c r="F5791"/>
      <c r="G5791" s="20"/>
      <c r="H5791"/>
      <c r="I5791"/>
    </row>
    <row r="5792" spans="2:9" ht="15" x14ac:dyDescent="0.25">
      <c r="B5792"/>
      <c r="C5792"/>
      <c r="D5792"/>
      <c r="E5792"/>
      <c r="F5792"/>
      <c r="G5792" s="20"/>
      <c r="H5792"/>
      <c r="I5792"/>
    </row>
    <row r="5793" spans="2:9" ht="15" x14ac:dyDescent="0.25">
      <c r="B5793"/>
      <c r="C5793"/>
      <c r="D5793"/>
      <c r="E5793"/>
      <c r="F5793"/>
      <c r="G5793" s="20"/>
      <c r="H5793"/>
      <c r="I5793"/>
    </row>
    <row r="5794" spans="2:9" ht="15" x14ac:dyDescent="0.25">
      <c r="B5794"/>
      <c r="C5794"/>
      <c r="D5794"/>
      <c r="E5794"/>
      <c r="F5794"/>
      <c r="G5794" s="20"/>
      <c r="H5794"/>
      <c r="I5794"/>
    </row>
    <row r="5795" spans="2:9" ht="15" x14ac:dyDescent="0.25">
      <c r="B5795"/>
      <c r="C5795"/>
      <c r="D5795"/>
      <c r="E5795"/>
      <c r="F5795"/>
      <c r="G5795" s="20"/>
      <c r="H5795"/>
      <c r="I5795"/>
    </row>
    <row r="5796" spans="2:9" ht="15" x14ac:dyDescent="0.25">
      <c r="B5796"/>
      <c r="C5796"/>
      <c r="D5796"/>
      <c r="E5796"/>
      <c r="F5796"/>
      <c r="G5796" s="20"/>
      <c r="H5796"/>
      <c r="I5796"/>
    </row>
    <row r="5797" spans="2:9" ht="15" x14ac:dyDescent="0.25">
      <c r="B5797"/>
      <c r="C5797"/>
      <c r="D5797"/>
      <c r="E5797"/>
      <c r="F5797"/>
      <c r="G5797" s="20"/>
      <c r="H5797"/>
      <c r="I5797"/>
    </row>
    <row r="5798" spans="2:9" ht="15" x14ac:dyDescent="0.25">
      <c r="B5798"/>
      <c r="C5798"/>
      <c r="D5798"/>
      <c r="E5798"/>
      <c r="F5798"/>
      <c r="G5798" s="20"/>
      <c r="H5798"/>
      <c r="I5798"/>
    </row>
    <row r="5799" spans="2:9" ht="15" x14ac:dyDescent="0.25">
      <c r="B5799"/>
      <c r="C5799"/>
      <c r="D5799"/>
      <c r="E5799"/>
      <c r="F5799"/>
      <c r="G5799" s="20"/>
      <c r="H5799"/>
      <c r="I5799"/>
    </row>
    <row r="5800" spans="2:9" ht="15" x14ac:dyDescent="0.25">
      <c r="B5800"/>
      <c r="C5800"/>
      <c r="D5800"/>
      <c r="E5800"/>
      <c r="F5800"/>
      <c r="G5800" s="20"/>
      <c r="H5800"/>
      <c r="I5800"/>
    </row>
    <row r="5801" spans="2:9" ht="15" x14ac:dyDescent="0.25">
      <c r="B5801"/>
      <c r="C5801"/>
      <c r="D5801"/>
      <c r="E5801"/>
      <c r="F5801"/>
      <c r="G5801" s="20"/>
      <c r="H5801"/>
      <c r="I5801"/>
    </row>
    <row r="5802" spans="2:9" ht="15" x14ac:dyDescent="0.25">
      <c r="B5802"/>
      <c r="C5802"/>
      <c r="D5802"/>
      <c r="E5802"/>
      <c r="F5802"/>
      <c r="G5802" s="20"/>
      <c r="H5802"/>
      <c r="I5802"/>
    </row>
    <row r="5803" spans="2:9" ht="15" x14ac:dyDescent="0.25">
      <c r="B5803"/>
      <c r="C5803"/>
      <c r="D5803"/>
      <c r="E5803"/>
      <c r="F5803"/>
      <c r="G5803" s="20"/>
      <c r="H5803"/>
      <c r="I5803"/>
    </row>
    <row r="5804" spans="2:9" ht="15" x14ac:dyDescent="0.25">
      <c r="B5804"/>
      <c r="C5804"/>
      <c r="D5804"/>
      <c r="E5804"/>
      <c r="F5804"/>
      <c r="G5804" s="20"/>
      <c r="H5804"/>
      <c r="I5804"/>
    </row>
    <row r="5805" spans="2:9" ht="15" x14ac:dyDescent="0.25">
      <c r="B5805"/>
      <c r="C5805"/>
      <c r="D5805"/>
      <c r="E5805"/>
      <c r="F5805"/>
      <c r="G5805" s="20"/>
      <c r="H5805"/>
      <c r="I5805"/>
    </row>
    <row r="5806" spans="2:9" ht="15" x14ac:dyDescent="0.25">
      <c r="B5806"/>
      <c r="C5806"/>
      <c r="D5806"/>
      <c r="E5806"/>
      <c r="F5806"/>
      <c r="G5806" s="20"/>
      <c r="H5806"/>
      <c r="I5806"/>
    </row>
    <row r="5807" spans="2:9" ht="15" x14ac:dyDescent="0.25">
      <c r="B5807"/>
      <c r="C5807"/>
      <c r="D5807"/>
      <c r="E5807"/>
      <c r="F5807"/>
      <c r="G5807" s="20"/>
      <c r="H5807"/>
      <c r="I5807"/>
    </row>
    <row r="5808" spans="2:9" ht="15" x14ac:dyDescent="0.25">
      <c r="B5808"/>
      <c r="C5808"/>
      <c r="D5808"/>
      <c r="E5808"/>
      <c r="F5808"/>
      <c r="G5808" s="20"/>
      <c r="H5808"/>
      <c r="I5808"/>
    </row>
    <row r="5809" spans="2:9" ht="15" x14ac:dyDescent="0.25">
      <c r="B5809"/>
      <c r="C5809"/>
      <c r="D5809"/>
      <c r="E5809"/>
      <c r="F5809"/>
      <c r="G5809" s="20"/>
      <c r="H5809"/>
      <c r="I5809"/>
    </row>
    <row r="5810" spans="2:9" ht="15" x14ac:dyDescent="0.25">
      <c r="B5810"/>
      <c r="C5810"/>
      <c r="D5810"/>
      <c r="E5810"/>
      <c r="F5810"/>
      <c r="G5810" s="20"/>
      <c r="H5810"/>
      <c r="I5810"/>
    </row>
    <row r="5811" spans="2:9" ht="15" x14ac:dyDescent="0.25">
      <c r="B5811"/>
      <c r="C5811"/>
      <c r="D5811"/>
      <c r="E5811"/>
      <c r="F5811"/>
      <c r="G5811" s="20"/>
      <c r="H5811"/>
      <c r="I5811"/>
    </row>
    <row r="5812" spans="2:9" ht="15" x14ac:dyDescent="0.25">
      <c r="B5812"/>
      <c r="C5812"/>
      <c r="D5812"/>
      <c r="E5812"/>
      <c r="F5812"/>
      <c r="G5812" s="20"/>
      <c r="H5812"/>
      <c r="I5812"/>
    </row>
    <row r="5813" spans="2:9" ht="15" x14ac:dyDescent="0.25">
      <c r="B5813"/>
      <c r="C5813"/>
      <c r="D5813"/>
      <c r="E5813"/>
      <c r="F5813"/>
      <c r="G5813" s="20"/>
      <c r="H5813"/>
      <c r="I5813"/>
    </row>
    <row r="5814" spans="2:9" ht="15" x14ac:dyDescent="0.25">
      <c r="B5814"/>
      <c r="C5814"/>
      <c r="D5814"/>
      <c r="E5814"/>
      <c r="F5814"/>
      <c r="G5814" s="20"/>
      <c r="H5814"/>
      <c r="I5814"/>
    </row>
    <row r="5815" spans="2:9" ht="15" x14ac:dyDescent="0.25">
      <c r="B5815"/>
      <c r="C5815"/>
      <c r="D5815"/>
      <c r="E5815"/>
      <c r="F5815"/>
      <c r="G5815" s="20"/>
      <c r="H5815"/>
      <c r="I5815"/>
    </row>
    <row r="5816" spans="2:9" ht="15" x14ac:dyDescent="0.25">
      <c r="B5816"/>
      <c r="C5816"/>
      <c r="D5816"/>
      <c r="E5816"/>
      <c r="F5816"/>
      <c r="G5816" s="20"/>
      <c r="H5816"/>
      <c r="I5816"/>
    </row>
    <row r="5817" spans="2:9" ht="15" x14ac:dyDescent="0.25">
      <c r="B5817"/>
      <c r="C5817"/>
      <c r="D5817"/>
      <c r="E5817"/>
      <c r="F5817"/>
      <c r="G5817" s="20"/>
      <c r="H5817"/>
      <c r="I5817"/>
    </row>
    <row r="5818" spans="2:9" ht="15" x14ac:dyDescent="0.25">
      <c r="B5818"/>
      <c r="C5818"/>
      <c r="D5818"/>
      <c r="E5818"/>
      <c r="F5818"/>
      <c r="G5818" s="20"/>
      <c r="H5818"/>
      <c r="I5818"/>
    </row>
    <row r="5819" spans="2:9" ht="15" x14ac:dyDescent="0.25">
      <c r="B5819"/>
      <c r="C5819"/>
      <c r="D5819"/>
      <c r="E5819"/>
      <c r="F5819"/>
      <c r="G5819" s="20"/>
      <c r="H5819"/>
      <c r="I5819"/>
    </row>
    <row r="5820" spans="2:9" ht="15" x14ac:dyDescent="0.25">
      <c r="B5820"/>
      <c r="C5820"/>
      <c r="D5820"/>
      <c r="E5820"/>
      <c r="F5820"/>
      <c r="G5820" s="20"/>
      <c r="H5820"/>
      <c r="I5820"/>
    </row>
    <row r="5821" spans="2:9" ht="15" x14ac:dyDescent="0.25">
      <c r="B5821"/>
      <c r="C5821"/>
      <c r="D5821"/>
      <c r="E5821"/>
      <c r="F5821"/>
      <c r="G5821" s="20"/>
      <c r="H5821"/>
      <c r="I5821"/>
    </row>
    <row r="5822" spans="2:9" ht="15" x14ac:dyDescent="0.25">
      <c r="B5822"/>
      <c r="C5822"/>
      <c r="D5822"/>
      <c r="E5822"/>
      <c r="F5822"/>
      <c r="G5822" s="20"/>
      <c r="H5822"/>
      <c r="I5822"/>
    </row>
    <row r="5823" spans="2:9" ht="15" x14ac:dyDescent="0.25">
      <c r="B5823"/>
      <c r="C5823"/>
      <c r="D5823"/>
      <c r="E5823"/>
      <c r="F5823"/>
      <c r="G5823" s="20"/>
      <c r="H5823"/>
      <c r="I5823"/>
    </row>
    <row r="5824" spans="2:9" ht="15" x14ac:dyDescent="0.25">
      <c r="B5824"/>
      <c r="C5824"/>
      <c r="D5824"/>
      <c r="E5824"/>
      <c r="F5824"/>
      <c r="G5824" s="20"/>
      <c r="H5824"/>
      <c r="I5824"/>
    </row>
    <row r="5825" spans="2:9" ht="15" x14ac:dyDescent="0.25">
      <c r="B5825"/>
      <c r="C5825"/>
      <c r="D5825"/>
      <c r="E5825"/>
      <c r="F5825"/>
      <c r="G5825" s="20"/>
      <c r="H5825"/>
      <c r="I5825"/>
    </row>
    <row r="5826" spans="2:9" ht="15" x14ac:dyDescent="0.25">
      <c r="B5826"/>
      <c r="C5826"/>
      <c r="D5826"/>
      <c r="E5826"/>
      <c r="F5826"/>
      <c r="G5826" s="20"/>
      <c r="H5826"/>
      <c r="I5826"/>
    </row>
    <row r="5827" spans="2:9" ht="15" x14ac:dyDescent="0.25">
      <c r="B5827"/>
      <c r="C5827"/>
      <c r="D5827"/>
      <c r="E5827"/>
      <c r="F5827"/>
      <c r="G5827" s="20"/>
      <c r="H5827"/>
      <c r="I5827"/>
    </row>
    <row r="5828" spans="2:9" ht="15" x14ac:dyDescent="0.25">
      <c r="B5828"/>
      <c r="C5828"/>
      <c r="D5828"/>
      <c r="E5828"/>
      <c r="F5828"/>
      <c r="G5828" s="20"/>
      <c r="H5828"/>
      <c r="I5828"/>
    </row>
    <row r="5829" spans="2:9" ht="15" x14ac:dyDescent="0.25">
      <c r="B5829"/>
      <c r="C5829"/>
      <c r="D5829"/>
      <c r="E5829"/>
      <c r="F5829"/>
      <c r="G5829" s="20"/>
      <c r="H5829"/>
      <c r="I5829"/>
    </row>
    <row r="5830" spans="2:9" ht="15" x14ac:dyDescent="0.25">
      <c r="B5830"/>
      <c r="C5830"/>
      <c r="D5830"/>
      <c r="E5830"/>
      <c r="F5830"/>
      <c r="G5830" s="20"/>
      <c r="H5830"/>
      <c r="I5830"/>
    </row>
    <row r="5831" spans="2:9" ht="15" x14ac:dyDescent="0.25">
      <c r="B5831"/>
      <c r="C5831"/>
      <c r="D5831"/>
      <c r="E5831"/>
      <c r="F5831"/>
      <c r="G5831" s="20"/>
      <c r="H5831"/>
      <c r="I5831"/>
    </row>
    <row r="5832" spans="2:9" ht="15" x14ac:dyDescent="0.25">
      <c r="B5832"/>
      <c r="C5832"/>
      <c r="D5832"/>
      <c r="E5832"/>
      <c r="F5832"/>
      <c r="G5832" s="20"/>
      <c r="H5832"/>
      <c r="I5832"/>
    </row>
    <row r="5833" spans="2:9" ht="15" x14ac:dyDescent="0.25">
      <c r="B5833"/>
      <c r="C5833"/>
      <c r="D5833"/>
      <c r="E5833"/>
      <c r="F5833"/>
      <c r="G5833" s="20"/>
      <c r="H5833"/>
      <c r="I5833"/>
    </row>
    <row r="5834" spans="2:9" ht="15" x14ac:dyDescent="0.25">
      <c r="B5834"/>
      <c r="C5834"/>
      <c r="D5834"/>
      <c r="E5834"/>
      <c r="F5834"/>
      <c r="G5834" s="20"/>
      <c r="H5834"/>
      <c r="I5834"/>
    </row>
    <row r="5835" spans="2:9" ht="15" x14ac:dyDescent="0.25">
      <c r="B5835"/>
      <c r="C5835"/>
      <c r="D5835"/>
      <c r="E5835"/>
      <c r="F5835"/>
      <c r="G5835" s="20"/>
      <c r="H5835"/>
      <c r="I5835"/>
    </row>
    <row r="5836" spans="2:9" ht="15" x14ac:dyDescent="0.25">
      <c r="B5836"/>
      <c r="C5836"/>
      <c r="D5836"/>
      <c r="E5836"/>
      <c r="F5836"/>
      <c r="G5836" s="20"/>
      <c r="H5836"/>
      <c r="I5836"/>
    </row>
    <row r="5837" spans="2:9" ht="15" x14ac:dyDescent="0.25">
      <c r="B5837"/>
      <c r="C5837"/>
      <c r="D5837"/>
      <c r="E5837"/>
      <c r="F5837"/>
      <c r="G5837" s="20"/>
      <c r="H5837"/>
      <c r="I5837"/>
    </row>
    <row r="5838" spans="2:9" ht="15" x14ac:dyDescent="0.25">
      <c r="B5838"/>
      <c r="C5838"/>
      <c r="D5838"/>
      <c r="E5838"/>
      <c r="F5838"/>
      <c r="G5838" s="20"/>
      <c r="H5838"/>
      <c r="I5838"/>
    </row>
    <row r="5839" spans="2:9" ht="15" x14ac:dyDescent="0.25">
      <c r="B5839"/>
      <c r="C5839"/>
      <c r="D5839"/>
      <c r="E5839"/>
      <c r="F5839"/>
      <c r="G5839" s="20"/>
      <c r="H5839"/>
      <c r="I5839"/>
    </row>
    <row r="5840" spans="2:9" ht="15" x14ac:dyDescent="0.25">
      <c r="B5840"/>
      <c r="C5840"/>
      <c r="D5840"/>
      <c r="E5840"/>
      <c r="F5840"/>
      <c r="G5840" s="20"/>
      <c r="H5840"/>
      <c r="I5840"/>
    </row>
    <row r="5841" spans="2:9" ht="15" x14ac:dyDescent="0.25">
      <c r="B5841"/>
      <c r="C5841"/>
      <c r="D5841"/>
      <c r="E5841"/>
      <c r="F5841"/>
      <c r="G5841" s="20"/>
      <c r="H5841"/>
      <c r="I5841"/>
    </row>
    <row r="5842" spans="2:9" ht="15" x14ac:dyDescent="0.25">
      <c r="B5842"/>
      <c r="C5842"/>
      <c r="D5842"/>
      <c r="E5842"/>
      <c r="F5842"/>
      <c r="G5842" s="20"/>
      <c r="H5842"/>
      <c r="I5842"/>
    </row>
    <row r="5843" spans="2:9" ht="15" x14ac:dyDescent="0.25">
      <c r="B5843"/>
      <c r="C5843"/>
      <c r="D5843"/>
      <c r="E5843"/>
      <c r="F5843"/>
      <c r="G5843" s="20"/>
      <c r="H5843"/>
      <c r="I5843"/>
    </row>
    <row r="5844" spans="2:9" ht="15" x14ac:dyDescent="0.25">
      <c r="B5844"/>
      <c r="C5844"/>
      <c r="D5844"/>
      <c r="E5844"/>
      <c r="F5844"/>
      <c r="G5844" s="20"/>
      <c r="H5844"/>
      <c r="I5844"/>
    </row>
    <row r="5845" spans="2:9" ht="15" x14ac:dyDescent="0.25">
      <c r="B5845"/>
      <c r="C5845"/>
      <c r="D5845"/>
      <c r="E5845"/>
      <c r="F5845"/>
      <c r="G5845" s="20"/>
      <c r="H5845"/>
      <c r="I5845"/>
    </row>
    <row r="5846" spans="2:9" ht="15" x14ac:dyDescent="0.25">
      <c r="B5846"/>
      <c r="C5846"/>
      <c r="D5846"/>
      <c r="E5846"/>
      <c r="F5846"/>
      <c r="G5846" s="20"/>
      <c r="H5846"/>
      <c r="I5846"/>
    </row>
    <row r="5847" spans="2:9" ht="15" x14ac:dyDescent="0.25">
      <c r="B5847"/>
      <c r="C5847"/>
      <c r="D5847"/>
      <c r="E5847"/>
      <c r="F5847"/>
      <c r="G5847" s="20"/>
      <c r="H5847"/>
      <c r="I5847"/>
    </row>
    <row r="5848" spans="2:9" ht="15" x14ac:dyDescent="0.25">
      <c r="B5848"/>
      <c r="C5848"/>
      <c r="D5848"/>
      <c r="E5848"/>
      <c r="F5848"/>
      <c r="G5848" s="20"/>
      <c r="H5848"/>
      <c r="I5848"/>
    </row>
    <row r="5849" spans="2:9" ht="15" x14ac:dyDescent="0.25">
      <c r="B5849"/>
      <c r="C5849"/>
      <c r="D5849"/>
      <c r="E5849"/>
      <c r="F5849"/>
      <c r="G5849" s="20"/>
      <c r="H5849"/>
      <c r="I5849"/>
    </row>
    <row r="5850" spans="2:9" ht="15" x14ac:dyDescent="0.25">
      <c r="B5850"/>
      <c r="C5850"/>
      <c r="D5850"/>
      <c r="E5850"/>
      <c r="F5850"/>
      <c r="G5850" s="20"/>
      <c r="H5850"/>
      <c r="I5850"/>
    </row>
    <row r="5851" spans="2:9" ht="15" x14ac:dyDescent="0.25">
      <c r="B5851"/>
      <c r="C5851"/>
      <c r="D5851"/>
      <c r="E5851"/>
      <c r="F5851"/>
      <c r="G5851" s="20"/>
      <c r="H5851"/>
      <c r="I5851"/>
    </row>
    <row r="5852" spans="2:9" ht="15" x14ac:dyDescent="0.25">
      <c r="B5852"/>
      <c r="C5852"/>
      <c r="D5852"/>
      <c r="E5852"/>
      <c r="F5852"/>
      <c r="G5852" s="20"/>
      <c r="H5852"/>
      <c r="I5852"/>
    </row>
    <row r="5853" spans="2:9" ht="15" x14ac:dyDescent="0.25">
      <c r="B5853"/>
      <c r="C5853"/>
      <c r="D5853"/>
      <c r="E5853"/>
      <c r="F5853"/>
      <c r="G5853" s="20"/>
      <c r="H5853"/>
      <c r="I5853"/>
    </row>
    <row r="5854" spans="2:9" ht="15" x14ac:dyDescent="0.25">
      <c r="B5854"/>
      <c r="C5854"/>
      <c r="D5854"/>
      <c r="E5854"/>
      <c r="F5854"/>
      <c r="G5854" s="20"/>
      <c r="H5854"/>
      <c r="I5854"/>
    </row>
    <row r="5855" spans="2:9" ht="15" x14ac:dyDescent="0.25">
      <c r="B5855"/>
      <c r="C5855"/>
      <c r="D5855"/>
      <c r="E5855"/>
      <c r="F5855"/>
      <c r="G5855" s="20"/>
      <c r="H5855"/>
      <c r="I5855"/>
    </row>
    <row r="5856" spans="2:9" ht="15" x14ac:dyDescent="0.25">
      <c r="B5856"/>
      <c r="C5856"/>
      <c r="D5856"/>
      <c r="E5856"/>
      <c r="F5856"/>
      <c r="G5856" s="20"/>
      <c r="H5856"/>
      <c r="I5856"/>
    </row>
    <row r="5857" spans="2:9" ht="15" x14ac:dyDescent="0.25">
      <c r="B5857"/>
      <c r="C5857"/>
      <c r="D5857"/>
      <c r="E5857"/>
      <c r="F5857"/>
      <c r="G5857" s="20"/>
      <c r="H5857"/>
      <c r="I5857"/>
    </row>
    <row r="5858" spans="2:9" ht="15" x14ac:dyDescent="0.25">
      <c r="B5858"/>
      <c r="C5858"/>
      <c r="D5858"/>
      <c r="E5858"/>
      <c r="F5858"/>
      <c r="G5858" s="20"/>
      <c r="H5858"/>
      <c r="I5858"/>
    </row>
    <row r="5859" spans="2:9" ht="15" x14ac:dyDescent="0.25">
      <c r="B5859"/>
      <c r="C5859"/>
      <c r="D5859"/>
      <c r="E5859"/>
      <c r="F5859"/>
      <c r="G5859" s="20"/>
      <c r="H5859"/>
      <c r="I5859"/>
    </row>
    <row r="5860" spans="2:9" ht="15" x14ac:dyDescent="0.25">
      <c r="B5860"/>
      <c r="C5860"/>
      <c r="D5860"/>
      <c r="E5860"/>
      <c r="F5860"/>
      <c r="G5860" s="20"/>
      <c r="H5860"/>
      <c r="I5860"/>
    </row>
    <row r="5861" spans="2:9" ht="15" x14ac:dyDescent="0.25">
      <c r="B5861"/>
      <c r="C5861"/>
      <c r="D5861"/>
      <c r="E5861"/>
      <c r="F5861"/>
      <c r="G5861" s="20"/>
      <c r="H5861"/>
      <c r="I5861"/>
    </row>
    <row r="5862" spans="2:9" ht="15" x14ac:dyDescent="0.25">
      <c r="B5862"/>
      <c r="C5862"/>
      <c r="D5862"/>
      <c r="E5862"/>
      <c r="F5862"/>
      <c r="G5862" s="20"/>
      <c r="H5862"/>
      <c r="I5862"/>
    </row>
    <row r="5863" spans="2:9" ht="15" x14ac:dyDescent="0.25">
      <c r="B5863"/>
      <c r="C5863"/>
      <c r="D5863"/>
      <c r="E5863"/>
      <c r="F5863"/>
      <c r="G5863" s="20"/>
      <c r="H5863"/>
      <c r="I5863"/>
    </row>
    <row r="5864" spans="2:9" ht="15" x14ac:dyDescent="0.25">
      <c r="B5864"/>
      <c r="C5864"/>
      <c r="D5864"/>
      <c r="E5864"/>
      <c r="F5864"/>
      <c r="G5864" s="20"/>
      <c r="H5864"/>
      <c r="I5864"/>
    </row>
    <row r="5865" spans="2:9" ht="15" x14ac:dyDescent="0.25">
      <c r="B5865"/>
      <c r="C5865"/>
      <c r="D5865"/>
      <c r="E5865"/>
      <c r="F5865"/>
      <c r="G5865" s="20"/>
      <c r="H5865"/>
      <c r="I5865"/>
    </row>
    <row r="5866" spans="2:9" ht="15" x14ac:dyDescent="0.25">
      <c r="B5866"/>
      <c r="C5866"/>
      <c r="D5866"/>
      <c r="E5866"/>
      <c r="F5866"/>
      <c r="G5866" s="20"/>
      <c r="H5866"/>
      <c r="I5866"/>
    </row>
    <row r="5867" spans="2:9" ht="15" x14ac:dyDescent="0.25">
      <c r="B5867"/>
      <c r="C5867"/>
      <c r="D5867"/>
      <c r="E5867"/>
      <c r="F5867"/>
      <c r="G5867" s="20"/>
      <c r="H5867"/>
      <c r="I5867"/>
    </row>
    <row r="5868" spans="2:9" ht="15" x14ac:dyDescent="0.25">
      <c r="B5868"/>
      <c r="C5868"/>
      <c r="D5868"/>
      <c r="E5868"/>
      <c r="F5868"/>
      <c r="G5868" s="20"/>
      <c r="H5868"/>
      <c r="I5868"/>
    </row>
    <row r="5869" spans="2:9" ht="15" x14ac:dyDescent="0.25">
      <c r="B5869"/>
      <c r="C5869"/>
      <c r="D5869"/>
      <c r="E5869"/>
      <c r="F5869"/>
      <c r="G5869" s="20"/>
      <c r="H5869"/>
      <c r="I5869"/>
    </row>
    <row r="5870" spans="2:9" ht="15" x14ac:dyDescent="0.25">
      <c r="B5870"/>
      <c r="C5870"/>
      <c r="D5870"/>
      <c r="E5870"/>
      <c r="F5870"/>
      <c r="G5870" s="20"/>
      <c r="H5870"/>
      <c r="I5870"/>
    </row>
    <row r="5871" spans="2:9" ht="15" x14ac:dyDescent="0.25">
      <c r="B5871"/>
      <c r="C5871"/>
      <c r="D5871"/>
      <c r="E5871"/>
      <c r="F5871"/>
      <c r="G5871" s="20"/>
      <c r="H5871"/>
      <c r="I5871"/>
    </row>
    <row r="5872" spans="2:9" ht="15" x14ac:dyDescent="0.25">
      <c r="B5872"/>
      <c r="C5872"/>
      <c r="D5872"/>
      <c r="E5872"/>
      <c r="F5872"/>
      <c r="G5872" s="20"/>
      <c r="H5872"/>
      <c r="I5872"/>
    </row>
    <row r="5873" spans="2:9" ht="15" x14ac:dyDescent="0.25">
      <c r="B5873"/>
      <c r="C5873"/>
      <c r="D5873"/>
      <c r="E5873"/>
      <c r="F5873"/>
      <c r="G5873" s="20"/>
      <c r="H5873"/>
      <c r="I5873"/>
    </row>
    <row r="5874" spans="2:9" ht="15" x14ac:dyDescent="0.25">
      <c r="B5874"/>
      <c r="C5874"/>
      <c r="D5874"/>
      <c r="E5874"/>
      <c r="F5874"/>
      <c r="G5874" s="20"/>
      <c r="H5874"/>
      <c r="I5874"/>
    </row>
    <row r="5875" spans="2:9" ht="15" x14ac:dyDescent="0.25">
      <c r="B5875"/>
      <c r="C5875"/>
      <c r="D5875"/>
      <c r="E5875"/>
      <c r="F5875"/>
      <c r="G5875" s="20"/>
      <c r="H5875"/>
      <c r="I5875"/>
    </row>
    <row r="5876" spans="2:9" ht="15" x14ac:dyDescent="0.25">
      <c r="B5876"/>
      <c r="C5876"/>
      <c r="D5876"/>
      <c r="E5876"/>
      <c r="F5876"/>
      <c r="G5876" s="20"/>
      <c r="H5876"/>
      <c r="I5876"/>
    </row>
    <row r="5877" spans="2:9" ht="15" x14ac:dyDescent="0.25">
      <c r="B5877"/>
      <c r="C5877"/>
      <c r="D5877"/>
      <c r="E5877"/>
      <c r="F5877"/>
      <c r="G5877" s="20"/>
      <c r="H5877"/>
      <c r="I5877"/>
    </row>
    <row r="5878" spans="2:9" ht="15" x14ac:dyDescent="0.25">
      <c r="B5878"/>
      <c r="C5878"/>
      <c r="D5878"/>
      <c r="E5878"/>
      <c r="F5878"/>
      <c r="G5878" s="20"/>
      <c r="H5878"/>
      <c r="I5878"/>
    </row>
    <row r="5879" spans="2:9" ht="15" x14ac:dyDescent="0.25">
      <c r="B5879"/>
      <c r="C5879"/>
      <c r="D5879"/>
      <c r="E5879"/>
      <c r="F5879"/>
      <c r="G5879" s="20"/>
      <c r="H5879"/>
      <c r="I5879"/>
    </row>
    <row r="5880" spans="2:9" ht="15" x14ac:dyDescent="0.25">
      <c r="B5880"/>
      <c r="C5880"/>
      <c r="D5880"/>
      <c r="E5880"/>
      <c r="F5880"/>
      <c r="G5880" s="20"/>
      <c r="H5880"/>
      <c r="I5880"/>
    </row>
    <row r="5881" spans="2:9" ht="15" x14ac:dyDescent="0.25">
      <c r="B5881"/>
      <c r="C5881"/>
      <c r="D5881"/>
      <c r="E5881"/>
      <c r="F5881"/>
      <c r="G5881" s="20"/>
      <c r="H5881"/>
      <c r="I5881"/>
    </row>
    <row r="5882" spans="2:9" ht="15" x14ac:dyDescent="0.25">
      <c r="B5882"/>
      <c r="C5882"/>
      <c r="D5882"/>
      <c r="E5882"/>
      <c r="F5882"/>
      <c r="G5882" s="20"/>
      <c r="H5882"/>
      <c r="I5882"/>
    </row>
    <row r="5883" spans="2:9" ht="15" x14ac:dyDescent="0.25">
      <c r="B5883"/>
      <c r="C5883"/>
      <c r="D5883"/>
      <c r="E5883"/>
      <c r="F5883"/>
      <c r="G5883" s="20"/>
      <c r="H5883"/>
      <c r="I5883"/>
    </row>
    <row r="5884" spans="2:9" ht="15" x14ac:dyDescent="0.25">
      <c r="B5884"/>
      <c r="C5884"/>
      <c r="D5884"/>
      <c r="E5884"/>
      <c r="F5884"/>
      <c r="G5884" s="20"/>
      <c r="H5884"/>
      <c r="I5884"/>
    </row>
    <row r="5885" spans="2:9" ht="15" x14ac:dyDescent="0.25">
      <c r="B5885"/>
      <c r="C5885"/>
      <c r="D5885"/>
      <c r="E5885"/>
      <c r="F5885"/>
      <c r="G5885" s="20"/>
      <c r="H5885"/>
      <c r="I5885"/>
    </row>
    <row r="5886" spans="2:9" ht="15" x14ac:dyDescent="0.25">
      <c r="B5886"/>
      <c r="C5886"/>
      <c r="D5886"/>
      <c r="E5886"/>
      <c r="F5886"/>
      <c r="G5886" s="20"/>
      <c r="H5886"/>
      <c r="I5886"/>
    </row>
    <row r="5887" spans="2:9" ht="15" x14ac:dyDescent="0.25">
      <c r="B5887"/>
      <c r="C5887"/>
      <c r="D5887"/>
      <c r="E5887"/>
      <c r="F5887"/>
      <c r="G5887" s="20"/>
      <c r="H5887"/>
      <c r="I5887"/>
    </row>
    <row r="5888" spans="2:9" ht="15" x14ac:dyDescent="0.25">
      <c r="B5888"/>
      <c r="C5888"/>
      <c r="D5888"/>
      <c r="E5888"/>
      <c r="F5888"/>
      <c r="G5888" s="20"/>
      <c r="H5888"/>
      <c r="I5888"/>
    </row>
    <row r="5889" spans="2:9" ht="15" x14ac:dyDescent="0.25">
      <c r="B5889"/>
      <c r="C5889"/>
      <c r="D5889"/>
      <c r="E5889"/>
      <c r="F5889"/>
      <c r="G5889" s="20"/>
      <c r="H5889"/>
      <c r="I5889"/>
    </row>
    <row r="5890" spans="2:9" ht="15" x14ac:dyDescent="0.25">
      <c r="B5890"/>
      <c r="C5890"/>
      <c r="D5890"/>
      <c r="E5890"/>
      <c r="F5890"/>
      <c r="G5890" s="20"/>
      <c r="H5890"/>
      <c r="I5890"/>
    </row>
    <row r="5891" spans="2:9" ht="15" x14ac:dyDescent="0.25">
      <c r="B5891"/>
      <c r="C5891"/>
      <c r="D5891"/>
      <c r="E5891"/>
      <c r="F5891"/>
      <c r="G5891" s="20"/>
      <c r="H5891"/>
      <c r="I5891"/>
    </row>
    <row r="5892" spans="2:9" ht="15" x14ac:dyDescent="0.25">
      <c r="B5892"/>
      <c r="C5892"/>
      <c r="D5892"/>
      <c r="E5892"/>
      <c r="F5892"/>
      <c r="G5892" s="20"/>
      <c r="H5892"/>
      <c r="I5892"/>
    </row>
    <row r="5893" spans="2:9" ht="15" x14ac:dyDescent="0.25">
      <c r="B5893"/>
      <c r="C5893"/>
      <c r="D5893"/>
      <c r="E5893"/>
      <c r="F5893"/>
      <c r="G5893" s="20"/>
      <c r="H5893"/>
      <c r="I5893"/>
    </row>
    <row r="5894" spans="2:9" ht="15" x14ac:dyDescent="0.25">
      <c r="B5894"/>
      <c r="C5894"/>
      <c r="D5894"/>
      <c r="E5894"/>
      <c r="F5894"/>
      <c r="G5894" s="20"/>
      <c r="H5894"/>
      <c r="I5894"/>
    </row>
    <row r="5895" spans="2:9" ht="15" x14ac:dyDescent="0.25">
      <c r="B5895"/>
      <c r="C5895"/>
      <c r="D5895"/>
      <c r="E5895"/>
      <c r="F5895"/>
      <c r="G5895" s="20"/>
      <c r="H5895"/>
      <c r="I5895"/>
    </row>
    <row r="5896" spans="2:9" ht="15" x14ac:dyDescent="0.25">
      <c r="B5896"/>
      <c r="C5896"/>
      <c r="D5896"/>
      <c r="E5896"/>
      <c r="F5896"/>
      <c r="G5896" s="20"/>
      <c r="H5896"/>
      <c r="I5896"/>
    </row>
    <row r="5897" spans="2:9" ht="15" x14ac:dyDescent="0.25">
      <c r="B5897"/>
      <c r="C5897"/>
      <c r="D5897"/>
      <c r="E5897"/>
      <c r="F5897"/>
      <c r="G5897" s="20"/>
      <c r="H5897"/>
      <c r="I5897"/>
    </row>
    <row r="5898" spans="2:9" ht="15" x14ac:dyDescent="0.25">
      <c r="B5898"/>
      <c r="C5898"/>
      <c r="D5898"/>
      <c r="E5898"/>
      <c r="F5898"/>
      <c r="G5898" s="20"/>
      <c r="H5898"/>
      <c r="I5898"/>
    </row>
    <row r="5899" spans="2:9" ht="15" x14ac:dyDescent="0.25">
      <c r="B5899"/>
      <c r="C5899"/>
      <c r="D5899"/>
      <c r="E5899"/>
      <c r="F5899"/>
      <c r="G5899" s="20"/>
      <c r="H5899"/>
      <c r="I5899"/>
    </row>
    <row r="5900" spans="2:9" ht="15" x14ac:dyDescent="0.25">
      <c r="B5900"/>
      <c r="C5900"/>
      <c r="D5900"/>
      <c r="E5900"/>
      <c r="F5900"/>
      <c r="G5900" s="20"/>
      <c r="H5900"/>
      <c r="I5900"/>
    </row>
    <row r="5901" spans="2:9" ht="15" x14ac:dyDescent="0.25">
      <c r="B5901"/>
      <c r="C5901"/>
      <c r="D5901"/>
      <c r="E5901"/>
      <c r="F5901"/>
      <c r="G5901" s="20"/>
      <c r="H5901"/>
      <c r="I5901"/>
    </row>
    <row r="5902" spans="2:9" ht="15" x14ac:dyDescent="0.25">
      <c r="B5902"/>
      <c r="C5902"/>
      <c r="D5902"/>
      <c r="E5902"/>
      <c r="F5902"/>
      <c r="G5902" s="20"/>
      <c r="H5902"/>
      <c r="I5902"/>
    </row>
    <row r="5903" spans="2:9" ht="15" x14ac:dyDescent="0.25">
      <c r="B5903"/>
      <c r="C5903"/>
      <c r="D5903"/>
      <c r="E5903"/>
      <c r="F5903"/>
      <c r="G5903" s="20"/>
      <c r="H5903"/>
      <c r="I5903"/>
    </row>
    <row r="5904" spans="2:9" ht="15" x14ac:dyDescent="0.25">
      <c r="B5904"/>
      <c r="C5904"/>
      <c r="D5904"/>
      <c r="E5904"/>
      <c r="F5904"/>
      <c r="G5904" s="20"/>
      <c r="H5904"/>
      <c r="I5904"/>
    </row>
    <row r="5905" spans="2:9" ht="15" x14ac:dyDescent="0.25">
      <c r="B5905"/>
      <c r="C5905"/>
      <c r="D5905"/>
      <c r="E5905"/>
      <c r="F5905"/>
      <c r="G5905" s="20"/>
      <c r="H5905"/>
      <c r="I5905"/>
    </row>
    <row r="5906" spans="2:9" ht="15" x14ac:dyDescent="0.25">
      <c r="B5906"/>
      <c r="C5906"/>
      <c r="D5906"/>
      <c r="E5906"/>
      <c r="F5906"/>
      <c r="G5906" s="20"/>
      <c r="H5906"/>
      <c r="I5906"/>
    </row>
    <row r="5907" spans="2:9" ht="15" x14ac:dyDescent="0.25">
      <c r="B5907"/>
      <c r="C5907"/>
      <c r="D5907"/>
      <c r="E5907"/>
      <c r="F5907"/>
      <c r="G5907" s="20"/>
      <c r="H5907"/>
      <c r="I5907"/>
    </row>
    <row r="5908" spans="2:9" ht="15" x14ac:dyDescent="0.25">
      <c r="B5908"/>
      <c r="C5908"/>
      <c r="D5908"/>
      <c r="E5908"/>
      <c r="F5908"/>
      <c r="G5908" s="20"/>
      <c r="H5908"/>
      <c r="I5908"/>
    </row>
    <row r="5909" spans="2:9" ht="15" x14ac:dyDescent="0.25">
      <c r="B5909"/>
      <c r="C5909"/>
      <c r="D5909"/>
      <c r="E5909"/>
      <c r="F5909"/>
      <c r="G5909" s="20"/>
      <c r="H5909"/>
      <c r="I5909"/>
    </row>
    <row r="5910" spans="2:9" ht="15" x14ac:dyDescent="0.25">
      <c r="B5910"/>
      <c r="C5910"/>
      <c r="D5910"/>
      <c r="E5910"/>
      <c r="F5910"/>
      <c r="G5910" s="20"/>
      <c r="H5910"/>
      <c r="I5910"/>
    </row>
    <row r="5911" spans="2:9" ht="15" x14ac:dyDescent="0.25">
      <c r="B5911"/>
      <c r="C5911"/>
      <c r="D5911"/>
      <c r="E5911"/>
      <c r="F5911"/>
      <c r="G5911" s="20"/>
      <c r="H5911"/>
      <c r="I5911"/>
    </row>
    <row r="5912" spans="2:9" ht="15" x14ac:dyDescent="0.25">
      <c r="B5912"/>
      <c r="C5912"/>
      <c r="D5912"/>
      <c r="E5912"/>
      <c r="F5912"/>
      <c r="G5912" s="20"/>
      <c r="H5912"/>
      <c r="I5912"/>
    </row>
    <row r="5913" spans="2:9" ht="15" x14ac:dyDescent="0.25">
      <c r="B5913"/>
      <c r="C5913"/>
      <c r="D5913"/>
      <c r="E5913"/>
      <c r="F5913"/>
      <c r="G5913" s="20"/>
      <c r="H5913"/>
      <c r="I5913"/>
    </row>
    <row r="5914" spans="2:9" ht="15" x14ac:dyDescent="0.25">
      <c r="B5914"/>
      <c r="C5914"/>
      <c r="D5914"/>
      <c r="E5914"/>
      <c r="F5914"/>
      <c r="G5914" s="20"/>
      <c r="H5914"/>
      <c r="I5914"/>
    </row>
    <row r="5915" spans="2:9" ht="15" x14ac:dyDescent="0.25">
      <c r="B5915"/>
      <c r="C5915"/>
      <c r="D5915"/>
      <c r="E5915"/>
      <c r="F5915"/>
      <c r="G5915" s="20"/>
      <c r="H5915"/>
      <c r="I5915"/>
    </row>
    <row r="5916" spans="2:9" ht="15" x14ac:dyDescent="0.25">
      <c r="B5916"/>
      <c r="C5916"/>
      <c r="D5916"/>
      <c r="E5916"/>
      <c r="F5916"/>
      <c r="G5916" s="20"/>
      <c r="H5916"/>
      <c r="I5916"/>
    </row>
    <row r="5917" spans="2:9" ht="15" x14ac:dyDescent="0.25">
      <c r="B5917"/>
      <c r="C5917"/>
      <c r="D5917"/>
      <c r="E5917"/>
      <c r="F5917"/>
      <c r="G5917" s="20"/>
      <c r="H5917"/>
      <c r="I5917"/>
    </row>
    <row r="5918" spans="2:9" ht="15" x14ac:dyDescent="0.25">
      <c r="B5918"/>
      <c r="C5918"/>
      <c r="D5918"/>
      <c r="E5918"/>
      <c r="F5918"/>
      <c r="G5918" s="20"/>
      <c r="H5918"/>
      <c r="I5918"/>
    </row>
    <row r="5919" spans="2:9" ht="15" x14ac:dyDescent="0.25">
      <c r="B5919"/>
      <c r="C5919"/>
      <c r="D5919"/>
      <c r="E5919"/>
      <c r="F5919"/>
      <c r="G5919" s="20"/>
      <c r="H5919"/>
      <c r="I5919"/>
    </row>
    <row r="5920" spans="2:9" ht="15" x14ac:dyDescent="0.25">
      <c r="B5920"/>
      <c r="C5920"/>
      <c r="D5920"/>
      <c r="E5920"/>
      <c r="F5920"/>
      <c r="G5920" s="20"/>
      <c r="H5920"/>
      <c r="I5920"/>
    </row>
    <row r="5921" spans="2:9" ht="15" x14ac:dyDescent="0.25">
      <c r="B5921"/>
      <c r="C5921"/>
      <c r="D5921"/>
      <c r="E5921"/>
      <c r="F5921"/>
      <c r="G5921" s="20"/>
      <c r="H5921"/>
      <c r="I5921"/>
    </row>
    <row r="5922" spans="2:9" ht="15" x14ac:dyDescent="0.25">
      <c r="B5922"/>
      <c r="C5922"/>
      <c r="D5922"/>
      <c r="E5922"/>
      <c r="F5922"/>
      <c r="G5922" s="20"/>
      <c r="H5922"/>
      <c r="I5922"/>
    </row>
    <row r="5923" spans="2:9" ht="15" x14ac:dyDescent="0.25">
      <c r="B5923"/>
      <c r="C5923"/>
      <c r="D5923"/>
      <c r="E5923"/>
      <c r="F5923"/>
      <c r="G5923" s="20"/>
      <c r="H5923"/>
      <c r="I5923"/>
    </row>
    <row r="5924" spans="2:9" ht="15" x14ac:dyDescent="0.25">
      <c r="B5924"/>
      <c r="C5924"/>
      <c r="D5924"/>
      <c r="E5924"/>
      <c r="F5924"/>
      <c r="G5924" s="20"/>
      <c r="H5924"/>
      <c r="I5924"/>
    </row>
    <row r="5925" spans="2:9" ht="15" x14ac:dyDescent="0.25">
      <c r="B5925"/>
      <c r="C5925"/>
      <c r="D5925"/>
      <c r="E5925"/>
      <c r="F5925"/>
      <c r="G5925" s="20"/>
      <c r="H5925"/>
      <c r="I5925"/>
    </row>
    <row r="5926" spans="2:9" ht="15" x14ac:dyDescent="0.25">
      <c r="B5926"/>
      <c r="C5926"/>
      <c r="D5926"/>
      <c r="E5926"/>
      <c r="F5926"/>
      <c r="G5926" s="20"/>
      <c r="H5926"/>
      <c r="I5926"/>
    </row>
    <row r="5927" spans="2:9" ht="15" x14ac:dyDescent="0.25">
      <c r="B5927"/>
      <c r="C5927"/>
      <c r="D5927"/>
      <c r="E5927"/>
      <c r="F5927"/>
      <c r="G5927" s="20"/>
      <c r="H5927"/>
      <c r="I5927"/>
    </row>
    <row r="5928" spans="2:9" ht="15" x14ac:dyDescent="0.25">
      <c r="B5928"/>
      <c r="C5928"/>
      <c r="D5928"/>
      <c r="E5928"/>
      <c r="F5928"/>
      <c r="G5928" s="20"/>
      <c r="H5928"/>
      <c r="I5928"/>
    </row>
    <row r="5929" spans="2:9" ht="15" x14ac:dyDescent="0.25">
      <c r="B5929"/>
      <c r="C5929"/>
      <c r="D5929"/>
      <c r="E5929"/>
      <c r="F5929"/>
      <c r="G5929" s="20"/>
      <c r="H5929"/>
      <c r="I5929"/>
    </row>
    <row r="5930" spans="2:9" ht="15" x14ac:dyDescent="0.25">
      <c r="B5930"/>
      <c r="C5930"/>
      <c r="D5930"/>
      <c r="E5930"/>
      <c r="F5930"/>
      <c r="G5930" s="20"/>
      <c r="H5930"/>
      <c r="I5930"/>
    </row>
    <row r="5931" spans="2:9" ht="15" x14ac:dyDescent="0.25">
      <c r="B5931"/>
      <c r="C5931"/>
      <c r="D5931"/>
      <c r="E5931"/>
      <c r="F5931"/>
      <c r="G5931" s="20"/>
      <c r="H5931"/>
      <c r="I5931"/>
    </row>
    <row r="5932" spans="2:9" ht="15" x14ac:dyDescent="0.25">
      <c r="B5932"/>
      <c r="C5932"/>
      <c r="D5932"/>
      <c r="E5932"/>
      <c r="F5932"/>
      <c r="G5932" s="20"/>
      <c r="H5932"/>
      <c r="I5932"/>
    </row>
    <row r="5933" spans="2:9" ht="15" x14ac:dyDescent="0.25">
      <c r="B5933"/>
      <c r="C5933"/>
      <c r="D5933"/>
      <c r="E5933"/>
      <c r="F5933"/>
      <c r="G5933" s="20"/>
      <c r="H5933"/>
      <c r="I5933"/>
    </row>
    <row r="5934" spans="2:9" ht="15" x14ac:dyDescent="0.25">
      <c r="B5934"/>
      <c r="C5934"/>
      <c r="D5934"/>
      <c r="E5934"/>
      <c r="F5934"/>
      <c r="G5934" s="20"/>
      <c r="H5934"/>
      <c r="I5934"/>
    </row>
    <row r="5935" spans="2:9" ht="15" x14ac:dyDescent="0.25">
      <c r="B5935"/>
      <c r="C5935"/>
      <c r="D5935"/>
      <c r="E5935"/>
      <c r="F5935"/>
      <c r="G5935" s="20"/>
      <c r="H5935"/>
      <c r="I5935"/>
    </row>
    <row r="5936" spans="2:9" ht="15" x14ac:dyDescent="0.25">
      <c r="B5936"/>
      <c r="C5936"/>
      <c r="D5936"/>
      <c r="E5936"/>
      <c r="F5936"/>
      <c r="G5936" s="20"/>
      <c r="H5936"/>
      <c r="I5936"/>
    </row>
    <row r="5937" spans="2:9" ht="15" x14ac:dyDescent="0.25">
      <c r="B5937"/>
      <c r="C5937"/>
      <c r="D5937"/>
      <c r="E5937"/>
      <c r="F5937"/>
      <c r="G5937" s="20"/>
      <c r="H5937"/>
      <c r="I5937"/>
    </row>
    <row r="5938" spans="2:9" ht="15" x14ac:dyDescent="0.25">
      <c r="B5938"/>
      <c r="C5938"/>
      <c r="D5938"/>
      <c r="E5938"/>
      <c r="F5938"/>
      <c r="G5938" s="20"/>
      <c r="H5938"/>
      <c r="I5938"/>
    </row>
    <row r="5939" spans="2:9" ht="15" x14ac:dyDescent="0.25">
      <c r="B5939"/>
      <c r="C5939"/>
      <c r="D5939"/>
      <c r="E5939"/>
      <c r="F5939"/>
      <c r="G5939" s="20"/>
      <c r="H5939"/>
      <c r="I5939"/>
    </row>
    <row r="5940" spans="2:9" ht="15" x14ac:dyDescent="0.25">
      <c r="B5940"/>
      <c r="C5940"/>
      <c r="D5940"/>
      <c r="E5940"/>
      <c r="F5940"/>
      <c r="G5940" s="20"/>
      <c r="H5940"/>
      <c r="I5940"/>
    </row>
    <row r="5941" spans="2:9" ht="15" x14ac:dyDescent="0.25">
      <c r="B5941"/>
      <c r="C5941"/>
      <c r="D5941"/>
      <c r="E5941"/>
      <c r="F5941"/>
      <c r="G5941" s="20"/>
      <c r="H5941"/>
      <c r="I5941"/>
    </row>
    <row r="5942" spans="2:9" ht="15" x14ac:dyDescent="0.25">
      <c r="B5942"/>
      <c r="C5942"/>
      <c r="D5942"/>
      <c r="E5942"/>
      <c r="F5942"/>
      <c r="G5942" s="20"/>
      <c r="H5942"/>
      <c r="I5942"/>
    </row>
    <row r="5943" spans="2:9" ht="15" x14ac:dyDescent="0.25">
      <c r="B5943"/>
      <c r="C5943"/>
      <c r="D5943"/>
      <c r="E5943"/>
      <c r="F5943"/>
      <c r="G5943" s="20"/>
      <c r="H5943"/>
      <c r="I5943"/>
    </row>
    <row r="5944" spans="2:9" ht="15" x14ac:dyDescent="0.25">
      <c r="B5944"/>
      <c r="C5944"/>
      <c r="D5944"/>
      <c r="E5944"/>
      <c r="F5944"/>
      <c r="G5944" s="20"/>
      <c r="H5944"/>
      <c r="I5944"/>
    </row>
    <row r="5945" spans="2:9" ht="15" x14ac:dyDescent="0.25">
      <c r="B5945"/>
      <c r="C5945"/>
      <c r="D5945"/>
      <c r="E5945"/>
      <c r="F5945"/>
      <c r="G5945" s="20"/>
      <c r="H5945"/>
      <c r="I5945"/>
    </row>
    <row r="5946" spans="2:9" ht="15" x14ac:dyDescent="0.25">
      <c r="B5946"/>
      <c r="C5946"/>
      <c r="D5946"/>
      <c r="E5946"/>
      <c r="F5946"/>
      <c r="G5946" s="20"/>
      <c r="H5946"/>
      <c r="I5946"/>
    </row>
    <row r="5947" spans="2:9" ht="15" x14ac:dyDescent="0.25">
      <c r="B5947"/>
      <c r="C5947"/>
      <c r="D5947"/>
      <c r="E5947"/>
      <c r="F5947"/>
      <c r="G5947" s="20"/>
      <c r="H5947"/>
      <c r="I5947"/>
    </row>
    <row r="5948" spans="2:9" ht="15" x14ac:dyDescent="0.25">
      <c r="B5948"/>
      <c r="C5948"/>
      <c r="D5948"/>
      <c r="E5948"/>
      <c r="F5948"/>
      <c r="G5948" s="20"/>
      <c r="H5948"/>
      <c r="I5948"/>
    </row>
    <row r="5949" spans="2:9" ht="15" x14ac:dyDescent="0.25">
      <c r="B5949"/>
      <c r="C5949"/>
      <c r="D5949"/>
      <c r="E5949"/>
      <c r="F5949"/>
      <c r="G5949" s="20"/>
      <c r="H5949"/>
      <c r="I5949"/>
    </row>
    <row r="5950" spans="2:9" ht="15" x14ac:dyDescent="0.25">
      <c r="B5950"/>
      <c r="C5950"/>
      <c r="D5950"/>
      <c r="E5950"/>
      <c r="F5950"/>
      <c r="G5950" s="20"/>
      <c r="H5950"/>
      <c r="I5950"/>
    </row>
    <row r="5951" spans="2:9" ht="15" x14ac:dyDescent="0.25">
      <c r="B5951"/>
      <c r="C5951"/>
      <c r="D5951"/>
      <c r="E5951"/>
      <c r="F5951"/>
      <c r="G5951" s="20"/>
      <c r="H5951"/>
      <c r="I5951"/>
    </row>
    <row r="5952" spans="2:9" ht="15" x14ac:dyDescent="0.25">
      <c r="B5952"/>
      <c r="C5952"/>
      <c r="D5952"/>
      <c r="E5952"/>
      <c r="F5952"/>
      <c r="G5952" s="20"/>
      <c r="H5952"/>
      <c r="I5952"/>
    </row>
    <row r="5953" spans="2:9" ht="15" x14ac:dyDescent="0.25">
      <c r="B5953"/>
      <c r="C5953"/>
      <c r="D5953"/>
      <c r="E5953"/>
      <c r="F5953"/>
      <c r="G5953" s="20"/>
      <c r="H5953"/>
      <c r="I5953"/>
    </row>
    <row r="5954" spans="2:9" ht="15" x14ac:dyDescent="0.25">
      <c r="B5954"/>
      <c r="C5954"/>
      <c r="D5954"/>
      <c r="E5954"/>
      <c r="F5954"/>
      <c r="G5954" s="20"/>
      <c r="H5954"/>
      <c r="I5954"/>
    </row>
    <row r="5955" spans="2:9" ht="15" x14ac:dyDescent="0.25">
      <c r="B5955"/>
      <c r="C5955"/>
      <c r="D5955"/>
      <c r="E5955"/>
      <c r="F5955"/>
      <c r="G5955" s="20"/>
      <c r="H5955"/>
      <c r="I5955"/>
    </row>
    <row r="5956" spans="2:9" ht="15" x14ac:dyDescent="0.25">
      <c r="B5956"/>
      <c r="C5956"/>
      <c r="D5956"/>
      <c r="E5956"/>
      <c r="F5956"/>
      <c r="G5956" s="20"/>
      <c r="H5956"/>
      <c r="I5956"/>
    </row>
    <row r="5957" spans="2:9" ht="15" x14ac:dyDescent="0.25">
      <c r="B5957"/>
      <c r="C5957"/>
      <c r="D5957"/>
      <c r="E5957"/>
      <c r="F5957"/>
      <c r="G5957" s="20"/>
      <c r="H5957"/>
      <c r="I5957"/>
    </row>
    <row r="5958" spans="2:9" ht="15" x14ac:dyDescent="0.25">
      <c r="B5958"/>
      <c r="C5958"/>
      <c r="D5958"/>
      <c r="E5958"/>
      <c r="F5958"/>
      <c r="G5958" s="20"/>
      <c r="H5958"/>
      <c r="I5958"/>
    </row>
    <row r="5959" spans="2:9" ht="15" x14ac:dyDescent="0.25">
      <c r="B5959"/>
      <c r="C5959"/>
      <c r="D5959"/>
      <c r="E5959"/>
      <c r="F5959"/>
      <c r="G5959" s="20"/>
      <c r="H5959"/>
      <c r="I5959"/>
    </row>
    <row r="5960" spans="2:9" ht="15" x14ac:dyDescent="0.25">
      <c r="B5960"/>
      <c r="C5960"/>
      <c r="D5960"/>
      <c r="E5960"/>
      <c r="F5960"/>
      <c r="G5960" s="20"/>
      <c r="H5960"/>
      <c r="I5960"/>
    </row>
    <row r="5961" spans="2:9" ht="15" x14ac:dyDescent="0.25">
      <c r="B5961"/>
      <c r="C5961"/>
      <c r="D5961"/>
      <c r="E5961"/>
      <c r="F5961"/>
      <c r="G5961" s="20"/>
      <c r="H5961"/>
      <c r="I5961"/>
    </row>
    <row r="5962" spans="2:9" ht="15" x14ac:dyDescent="0.25">
      <c r="B5962"/>
      <c r="C5962"/>
      <c r="D5962"/>
      <c r="E5962"/>
      <c r="F5962"/>
      <c r="G5962" s="20"/>
      <c r="H5962"/>
      <c r="I5962"/>
    </row>
    <row r="5963" spans="2:9" ht="15" x14ac:dyDescent="0.25">
      <c r="B5963"/>
      <c r="C5963"/>
      <c r="D5963"/>
      <c r="E5963"/>
      <c r="F5963"/>
      <c r="G5963" s="20"/>
      <c r="H5963"/>
      <c r="I5963"/>
    </row>
    <row r="5964" spans="2:9" ht="15" x14ac:dyDescent="0.25">
      <c r="B5964"/>
      <c r="C5964"/>
      <c r="D5964"/>
      <c r="E5964"/>
      <c r="F5964"/>
      <c r="G5964" s="20"/>
      <c r="H5964"/>
      <c r="I5964"/>
    </row>
    <row r="5965" spans="2:9" ht="15" x14ac:dyDescent="0.25">
      <c r="B5965"/>
      <c r="C5965"/>
      <c r="D5965"/>
      <c r="E5965"/>
      <c r="F5965"/>
      <c r="G5965" s="20"/>
      <c r="H5965"/>
      <c r="I5965"/>
    </row>
    <row r="5966" spans="2:9" ht="15" x14ac:dyDescent="0.25">
      <c r="B5966"/>
      <c r="C5966"/>
      <c r="D5966"/>
      <c r="E5966"/>
      <c r="F5966"/>
      <c r="G5966" s="20"/>
      <c r="H5966"/>
      <c r="I5966"/>
    </row>
    <row r="5967" spans="2:9" ht="15" x14ac:dyDescent="0.25">
      <c r="B5967"/>
      <c r="C5967"/>
      <c r="D5967"/>
      <c r="E5967"/>
      <c r="F5967"/>
      <c r="G5967" s="20"/>
      <c r="H5967"/>
      <c r="I5967"/>
    </row>
    <row r="5968" spans="2:9" ht="15" x14ac:dyDescent="0.25">
      <c r="B5968"/>
      <c r="C5968"/>
      <c r="D5968"/>
      <c r="E5968"/>
      <c r="F5968"/>
      <c r="G5968" s="20"/>
      <c r="H5968"/>
      <c r="I5968"/>
    </row>
    <row r="5969" spans="2:9" ht="15" x14ac:dyDescent="0.25">
      <c r="B5969"/>
      <c r="C5969"/>
      <c r="D5969"/>
      <c r="E5969"/>
      <c r="F5969"/>
      <c r="G5969" s="20"/>
      <c r="H5969"/>
      <c r="I5969"/>
    </row>
    <row r="5970" spans="2:9" ht="15" x14ac:dyDescent="0.25">
      <c r="B5970"/>
      <c r="C5970"/>
      <c r="D5970"/>
      <c r="E5970"/>
      <c r="F5970"/>
      <c r="G5970" s="20"/>
      <c r="H5970"/>
      <c r="I5970"/>
    </row>
    <row r="5971" spans="2:9" ht="15" x14ac:dyDescent="0.25">
      <c r="B5971"/>
      <c r="C5971"/>
      <c r="D5971"/>
      <c r="E5971"/>
      <c r="F5971"/>
      <c r="G5971" s="20"/>
      <c r="H5971"/>
      <c r="I5971"/>
    </row>
    <row r="5972" spans="2:9" ht="15" x14ac:dyDescent="0.25">
      <c r="B5972"/>
      <c r="C5972"/>
      <c r="D5972"/>
      <c r="E5972"/>
      <c r="F5972"/>
      <c r="G5972" s="20"/>
      <c r="H5972"/>
      <c r="I5972"/>
    </row>
    <row r="5973" spans="2:9" ht="15" x14ac:dyDescent="0.25">
      <c r="B5973"/>
      <c r="C5973"/>
      <c r="D5973"/>
      <c r="E5973"/>
      <c r="F5973"/>
      <c r="G5973" s="20"/>
      <c r="H5973"/>
      <c r="I5973"/>
    </row>
    <row r="5974" spans="2:9" ht="15" x14ac:dyDescent="0.25">
      <c r="B5974"/>
      <c r="C5974"/>
      <c r="D5974"/>
      <c r="E5974"/>
      <c r="F5974"/>
      <c r="G5974" s="20"/>
      <c r="H5974"/>
      <c r="I5974"/>
    </row>
    <row r="5975" spans="2:9" ht="15" x14ac:dyDescent="0.25">
      <c r="B5975"/>
      <c r="C5975"/>
      <c r="D5975"/>
      <c r="E5975"/>
      <c r="F5975"/>
      <c r="G5975" s="20"/>
      <c r="H5975"/>
      <c r="I5975"/>
    </row>
    <row r="5976" spans="2:9" ht="15" x14ac:dyDescent="0.25">
      <c r="B5976"/>
      <c r="C5976"/>
      <c r="D5976"/>
      <c r="E5976"/>
      <c r="F5976"/>
      <c r="G5976" s="20"/>
      <c r="H5976"/>
      <c r="I5976"/>
    </row>
    <row r="5977" spans="2:9" ht="15" x14ac:dyDescent="0.25">
      <c r="B5977"/>
      <c r="C5977"/>
      <c r="D5977"/>
      <c r="E5977"/>
      <c r="F5977"/>
      <c r="G5977" s="20"/>
      <c r="H5977"/>
      <c r="I5977"/>
    </row>
    <row r="5978" spans="2:9" ht="15" x14ac:dyDescent="0.25">
      <c r="B5978"/>
      <c r="C5978"/>
      <c r="D5978"/>
      <c r="E5978"/>
      <c r="F5978"/>
      <c r="G5978" s="20"/>
      <c r="H5978"/>
      <c r="I5978"/>
    </row>
    <row r="5979" spans="2:9" ht="15" x14ac:dyDescent="0.25">
      <c r="B5979"/>
      <c r="C5979"/>
      <c r="D5979"/>
      <c r="E5979"/>
      <c r="F5979"/>
      <c r="G5979" s="20"/>
      <c r="H5979"/>
      <c r="I5979"/>
    </row>
    <row r="5980" spans="2:9" ht="15" x14ac:dyDescent="0.25">
      <c r="B5980"/>
      <c r="C5980"/>
      <c r="D5980"/>
      <c r="E5980"/>
      <c r="F5980"/>
      <c r="G5980" s="20"/>
      <c r="H5980"/>
      <c r="I5980"/>
    </row>
    <row r="5981" spans="2:9" ht="15" x14ac:dyDescent="0.25">
      <c r="B5981"/>
      <c r="C5981"/>
      <c r="D5981"/>
      <c r="E5981"/>
      <c r="F5981"/>
      <c r="G5981" s="20"/>
      <c r="H5981"/>
      <c r="I5981"/>
    </row>
    <row r="5982" spans="2:9" ht="15" x14ac:dyDescent="0.25">
      <c r="B5982"/>
      <c r="C5982"/>
      <c r="D5982"/>
      <c r="E5982"/>
      <c r="F5982"/>
      <c r="G5982" s="20"/>
      <c r="H5982"/>
      <c r="I5982"/>
    </row>
    <row r="5983" spans="2:9" ht="15" x14ac:dyDescent="0.25">
      <c r="B5983"/>
      <c r="C5983"/>
      <c r="D5983"/>
      <c r="E5983"/>
      <c r="F5983"/>
      <c r="G5983" s="20"/>
      <c r="H5983"/>
      <c r="I5983"/>
    </row>
    <row r="5984" spans="2:9" ht="15" x14ac:dyDescent="0.25">
      <c r="B5984"/>
      <c r="C5984"/>
      <c r="D5984"/>
      <c r="E5984"/>
      <c r="F5984"/>
      <c r="G5984" s="20"/>
      <c r="H5984"/>
      <c r="I5984"/>
    </row>
    <row r="5985" spans="2:9" ht="15" x14ac:dyDescent="0.25">
      <c r="B5985"/>
      <c r="C5985"/>
      <c r="D5985"/>
      <c r="E5985"/>
      <c r="F5985"/>
      <c r="G5985" s="20"/>
      <c r="H5985"/>
      <c r="I5985"/>
    </row>
    <row r="5986" spans="2:9" ht="15" x14ac:dyDescent="0.25">
      <c r="B5986"/>
      <c r="C5986"/>
      <c r="D5986"/>
      <c r="E5986"/>
      <c r="F5986"/>
      <c r="G5986" s="20"/>
      <c r="H5986"/>
      <c r="I5986"/>
    </row>
    <row r="5987" spans="2:9" ht="15" x14ac:dyDescent="0.25">
      <c r="B5987"/>
      <c r="C5987"/>
      <c r="D5987"/>
      <c r="E5987"/>
      <c r="F5987"/>
      <c r="G5987" s="20"/>
      <c r="H5987"/>
      <c r="I5987"/>
    </row>
    <row r="5988" spans="2:9" ht="15" x14ac:dyDescent="0.25">
      <c r="B5988"/>
      <c r="C5988"/>
      <c r="D5988"/>
      <c r="E5988"/>
      <c r="F5988"/>
      <c r="G5988" s="20"/>
      <c r="H5988"/>
      <c r="I5988"/>
    </row>
    <row r="5989" spans="2:9" ht="15" x14ac:dyDescent="0.25">
      <c r="B5989"/>
      <c r="C5989"/>
      <c r="D5989"/>
      <c r="E5989"/>
      <c r="F5989"/>
      <c r="G5989" s="20"/>
      <c r="H5989"/>
      <c r="I5989"/>
    </row>
    <row r="5990" spans="2:9" ht="15" x14ac:dyDescent="0.25">
      <c r="B5990"/>
      <c r="C5990"/>
      <c r="D5990"/>
      <c r="E5990"/>
      <c r="F5990"/>
      <c r="G5990" s="20"/>
      <c r="H5990"/>
      <c r="I5990"/>
    </row>
    <row r="5991" spans="2:9" ht="15" x14ac:dyDescent="0.25">
      <c r="B5991"/>
      <c r="C5991"/>
      <c r="D5991"/>
      <c r="E5991"/>
      <c r="F5991"/>
      <c r="G5991" s="20"/>
      <c r="H5991"/>
      <c r="I5991"/>
    </row>
    <row r="5992" spans="2:9" ht="15" x14ac:dyDescent="0.25">
      <c r="B5992"/>
      <c r="C5992"/>
      <c r="D5992"/>
      <c r="E5992"/>
      <c r="F5992"/>
      <c r="G5992" s="20"/>
      <c r="H5992"/>
      <c r="I5992"/>
    </row>
    <row r="5993" spans="2:9" ht="15" x14ac:dyDescent="0.25">
      <c r="B5993"/>
      <c r="C5993"/>
      <c r="D5993"/>
      <c r="E5993"/>
      <c r="F5993"/>
      <c r="G5993" s="20"/>
      <c r="H5993"/>
      <c r="I5993"/>
    </row>
    <row r="5994" spans="2:9" ht="15" x14ac:dyDescent="0.25">
      <c r="B5994"/>
      <c r="C5994"/>
      <c r="D5994"/>
      <c r="E5994"/>
      <c r="F5994"/>
      <c r="G5994" s="20"/>
      <c r="H5994"/>
      <c r="I5994"/>
    </row>
    <row r="5995" spans="2:9" ht="15" x14ac:dyDescent="0.25">
      <c r="B5995"/>
      <c r="C5995"/>
      <c r="D5995"/>
      <c r="E5995"/>
      <c r="F5995"/>
      <c r="G5995" s="20"/>
      <c r="H5995"/>
      <c r="I5995"/>
    </row>
    <row r="5996" spans="2:9" ht="15" x14ac:dyDescent="0.25">
      <c r="B5996"/>
      <c r="C5996"/>
      <c r="D5996"/>
      <c r="E5996"/>
      <c r="F5996"/>
      <c r="G5996" s="20"/>
      <c r="H5996"/>
      <c r="I5996"/>
    </row>
    <row r="5997" spans="2:9" ht="15" x14ac:dyDescent="0.25">
      <c r="B5997"/>
      <c r="C5997"/>
      <c r="D5997"/>
      <c r="E5997"/>
      <c r="F5997"/>
      <c r="G5997" s="20"/>
      <c r="H5997"/>
      <c r="I5997"/>
    </row>
    <row r="5998" spans="2:9" ht="15" x14ac:dyDescent="0.25">
      <c r="B5998"/>
      <c r="C5998"/>
      <c r="D5998"/>
      <c r="E5998"/>
      <c r="F5998"/>
      <c r="G5998" s="20"/>
      <c r="H5998"/>
      <c r="I5998"/>
    </row>
    <row r="5999" spans="2:9" ht="15" x14ac:dyDescent="0.25">
      <c r="B5999"/>
      <c r="C5999"/>
      <c r="D5999"/>
      <c r="E5999"/>
      <c r="F5999"/>
      <c r="G5999" s="20"/>
      <c r="H5999"/>
      <c r="I5999"/>
    </row>
    <row r="6000" spans="2:9" ht="15" x14ac:dyDescent="0.25">
      <c r="B6000"/>
      <c r="C6000"/>
      <c r="D6000"/>
      <c r="E6000"/>
      <c r="F6000"/>
      <c r="G6000" s="20"/>
      <c r="H6000"/>
      <c r="I6000"/>
    </row>
    <row r="6001" spans="2:9" ht="15" x14ac:dyDescent="0.25">
      <c r="B6001"/>
      <c r="C6001"/>
      <c r="D6001"/>
      <c r="E6001"/>
      <c r="F6001"/>
      <c r="G6001" s="20"/>
      <c r="H6001"/>
      <c r="I6001"/>
    </row>
    <row r="6002" spans="2:9" ht="15" x14ac:dyDescent="0.25">
      <c r="B6002"/>
      <c r="C6002"/>
      <c r="D6002"/>
      <c r="E6002"/>
      <c r="F6002"/>
      <c r="G6002" s="20"/>
      <c r="H6002"/>
      <c r="I6002"/>
    </row>
    <row r="6003" spans="2:9" ht="15" x14ac:dyDescent="0.25">
      <c r="B6003"/>
      <c r="C6003"/>
      <c r="D6003"/>
      <c r="E6003"/>
      <c r="F6003"/>
      <c r="G6003" s="20"/>
      <c r="H6003"/>
      <c r="I6003"/>
    </row>
    <row r="6004" spans="2:9" ht="15" x14ac:dyDescent="0.25">
      <c r="B6004"/>
      <c r="C6004"/>
      <c r="D6004"/>
      <c r="E6004"/>
      <c r="F6004"/>
      <c r="G6004" s="20"/>
      <c r="H6004"/>
      <c r="I6004"/>
    </row>
    <row r="6005" spans="2:9" ht="15" x14ac:dyDescent="0.25">
      <c r="B6005"/>
      <c r="C6005"/>
      <c r="D6005"/>
      <c r="E6005"/>
      <c r="F6005"/>
      <c r="G6005" s="20"/>
      <c r="H6005"/>
      <c r="I6005"/>
    </row>
    <row r="6006" spans="2:9" ht="15" x14ac:dyDescent="0.25">
      <c r="B6006"/>
      <c r="C6006"/>
      <c r="D6006"/>
      <c r="E6006"/>
      <c r="F6006"/>
      <c r="G6006" s="20"/>
      <c r="H6006"/>
      <c r="I6006"/>
    </row>
    <row r="6007" spans="2:9" ht="15" x14ac:dyDescent="0.25">
      <c r="B6007"/>
      <c r="C6007"/>
      <c r="D6007"/>
      <c r="E6007"/>
      <c r="F6007"/>
      <c r="G6007" s="20"/>
      <c r="H6007"/>
      <c r="I6007"/>
    </row>
    <row r="6008" spans="2:9" ht="15" x14ac:dyDescent="0.25">
      <c r="B6008"/>
      <c r="C6008"/>
      <c r="D6008"/>
      <c r="E6008"/>
      <c r="F6008"/>
      <c r="G6008" s="20"/>
      <c r="H6008"/>
      <c r="I6008"/>
    </row>
    <row r="6009" spans="2:9" ht="15" x14ac:dyDescent="0.25">
      <c r="B6009"/>
      <c r="C6009"/>
      <c r="D6009"/>
      <c r="E6009"/>
      <c r="F6009"/>
      <c r="G6009" s="20"/>
      <c r="H6009"/>
      <c r="I6009"/>
    </row>
    <row r="6010" spans="2:9" ht="15" x14ac:dyDescent="0.25">
      <c r="B6010"/>
      <c r="C6010"/>
      <c r="D6010"/>
      <c r="E6010"/>
      <c r="F6010"/>
      <c r="G6010" s="20"/>
      <c r="H6010"/>
      <c r="I6010"/>
    </row>
    <row r="6011" spans="2:9" ht="15" x14ac:dyDescent="0.25">
      <c r="B6011"/>
      <c r="C6011"/>
      <c r="D6011"/>
      <c r="E6011"/>
      <c r="F6011"/>
      <c r="G6011" s="20"/>
      <c r="H6011"/>
      <c r="I6011"/>
    </row>
    <row r="6012" spans="2:9" ht="15" x14ac:dyDescent="0.25">
      <c r="B6012"/>
      <c r="C6012"/>
      <c r="D6012"/>
      <c r="E6012"/>
      <c r="F6012"/>
      <c r="G6012" s="20"/>
      <c r="H6012"/>
      <c r="I6012"/>
    </row>
    <row r="6013" spans="2:9" ht="15" x14ac:dyDescent="0.25">
      <c r="B6013"/>
      <c r="C6013"/>
      <c r="D6013"/>
      <c r="E6013"/>
      <c r="F6013"/>
      <c r="G6013" s="20"/>
      <c r="H6013"/>
      <c r="I6013"/>
    </row>
    <row r="6014" spans="2:9" ht="15" x14ac:dyDescent="0.25">
      <c r="B6014"/>
      <c r="C6014"/>
      <c r="D6014"/>
      <c r="E6014"/>
      <c r="F6014"/>
      <c r="G6014" s="20"/>
      <c r="H6014"/>
      <c r="I6014"/>
    </row>
    <row r="6015" spans="2:9" ht="15" x14ac:dyDescent="0.25">
      <c r="B6015"/>
      <c r="C6015"/>
      <c r="D6015"/>
      <c r="E6015"/>
      <c r="F6015"/>
      <c r="G6015" s="20"/>
      <c r="H6015"/>
      <c r="I6015"/>
    </row>
    <row r="6016" spans="2:9" ht="15" x14ac:dyDescent="0.25">
      <c r="B6016"/>
      <c r="C6016"/>
      <c r="D6016"/>
      <c r="E6016"/>
      <c r="F6016"/>
      <c r="G6016" s="20"/>
      <c r="H6016"/>
      <c r="I6016"/>
    </row>
    <row r="6017" spans="2:9" ht="15" x14ac:dyDescent="0.25">
      <c r="B6017"/>
      <c r="C6017"/>
      <c r="D6017"/>
      <c r="E6017"/>
      <c r="F6017"/>
      <c r="G6017" s="20"/>
      <c r="H6017"/>
      <c r="I6017"/>
    </row>
    <row r="6018" spans="2:9" ht="15" x14ac:dyDescent="0.25">
      <c r="B6018"/>
      <c r="C6018"/>
      <c r="D6018"/>
      <c r="E6018"/>
      <c r="F6018"/>
      <c r="G6018" s="20"/>
      <c r="H6018"/>
      <c r="I6018"/>
    </row>
    <row r="6019" spans="2:9" ht="15" x14ac:dyDescent="0.25">
      <c r="B6019"/>
      <c r="C6019"/>
      <c r="D6019"/>
      <c r="E6019"/>
      <c r="F6019"/>
      <c r="G6019" s="20"/>
      <c r="H6019"/>
      <c r="I6019"/>
    </row>
    <row r="6020" spans="2:9" ht="15" x14ac:dyDescent="0.25">
      <c r="B6020"/>
      <c r="C6020"/>
      <c r="D6020"/>
      <c r="E6020"/>
      <c r="F6020"/>
      <c r="G6020" s="20"/>
      <c r="H6020"/>
      <c r="I6020"/>
    </row>
    <row r="6021" spans="2:9" ht="15" x14ac:dyDescent="0.25">
      <c r="B6021"/>
      <c r="C6021"/>
      <c r="D6021"/>
      <c r="E6021"/>
      <c r="F6021"/>
      <c r="G6021" s="20"/>
      <c r="H6021"/>
      <c r="I6021"/>
    </row>
    <row r="6022" spans="2:9" ht="15" x14ac:dyDescent="0.25">
      <c r="B6022"/>
      <c r="C6022"/>
      <c r="D6022"/>
      <c r="E6022"/>
      <c r="F6022"/>
      <c r="G6022" s="20"/>
      <c r="H6022"/>
      <c r="I6022"/>
    </row>
    <row r="6023" spans="2:9" ht="15" x14ac:dyDescent="0.25">
      <c r="B6023"/>
      <c r="C6023"/>
      <c r="D6023"/>
      <c r="E6023"/>
      <c r="F6023"/>
      <c r="G6023" s="20"/>
      <c r="H6023"/>
      <c r="I6023"/>
    </row>
    <row r="6024" spans="2:9" ht="15" x14ac:dyDescent="0.25">
      <c r="B6024"/>
      <c r="C6024"/>
      <c r="D6024"/>
      <c r="E6024"/>
      <c r="F6024"/>
      <c r="G6024" s="20"/>
      <c r="H6024"/>
      <c r="I6024"/>
    </row>
    <row r="6025" spans="2:9" ht="15" x14ac:dyDescent="0.25">
      <c r="B6025"/>
      <c r="C6025"/>
      <c r="D6025"/>
      <c r="E6025"/>
      <c r="F6025"/>
      <c r="G6025" s="20"/>
      <c r="H6025"/>
      <c r="I6025"/>
    </row>
    <row r="6026" spans="2:9" ht="15" x14ac:dyDescent="0.25">
      <c r="B6026"/>
      <c r="C6026"/>
      <c r="D6026"/>
      <c r="E6026"/>
      <c r="F6026"/>
      <c r="G6026" s="20"/>
      <c r="H6026"/>
      <c r="I6026"/>
    </row>
    <row r="6027" spans="2:9" ht="15" x14ac:dyDescent="0.25">
      <c r="B6027"/>
      <c r="C6027"/>
      <c r="D6027"/>
      <c r="E6027"/>
      <c r="F6027"/>
      <c r="G6027" s="20"/>
      <c r="H6027"/>
      <c r="I6027"/>
    </row>
    <row r="6028" spans="2:9" ht="15" x14ac:dyDescent="0.25">
      <c r="B6028"/>
      <c r="C6028"/>
      <c r="D6028"/>
      <c r="E6028"/>
      <c r="F6028"/>
      <c r="G6028" s="20"/>
      <c r="H6028"/>
      <c r="I6028"/>
    </row>
    <row r="6029" spans="2:9" ht="15" x14ac:dyDescent="0.25">
      <c r="B6029"/>
      <c r="C6029"/>
      <c r="D6029"/>
      <c r="E6029"/>
      <c r="F6029"/>
      <c r="G6029" s="20"/>
      <c r="H6029"/>
      <c r="I6029"/>
    </row>
    <row r="6030" spans="2:9" ht="15" x14ac:dyDescent="0.25">
      <c r="B6030"/>
      <c r="C6030"/>
      <c r="D6030"/>
      <c r="E6030"/>
      <c r="F6030"/>
      <c r="G6030" s="20"/>
      <c r="H6030"/>
      <c r="I6030"/>
    </row>
    <row r="6031" spans="2:9" ht="15" x14ac:dyDescent="0.25">
      <c r="B6031"/>
      <c r="C6031"/>
      <c r="D6031"/>
      <c r="E6031"/>
      <c r="F6031"/>
      <c r="G6031" s="20"/>
      <c r="H6031"/>
      <c r="I6031"/>
    </row>
    <row r="6032" spans="2:9" ht="15" x14ac:dyDescent="0.25">
      <c r="B6032"/>
      <c r="C6032"/>
      <c r="D6032"/>
      <c r="E6032"/>
      <c r="F6032"/>
      <c r="G6032" s="20"/>
      <c r="H6032"/>
      <c r="I6032"/>
    </row>
    <row r="6033" spans="2:9" ht="15" x14ac:dyDescent="0.25">
      <c r="B6033"/>
      <c r="C6033"/>
      <c r="D6033"/>
      <c r="E6033"/>
      <c r="F6033"/>
      <c r="G6033" s="20"/>
      <c r="H6033"/>
      <c r="I6033"/>
    </row>
    <row r="6034" spans="2:9" ht="15" x14ac:dyDescent="0.25">
      <c r="B6034"/>
      <c r="C6034"/>
      <c r="D6034"/>
      <c r="E6034"/>
      <c r="F6034"/>
      <c r="G6034" s="20"/>
      <c r="H6034"/>
      <c r="I6034"/>
    </row>
    <row r="6035" spans="2:9" ht="15" x14ac:dyDescent="0.25">
      <c r="B6035"/>
      <c r="C6035"/>
      <c r="D6035"/>
      <c r="E6035"/>
      <c r="F6035"/>
      <c r="G6035" s="20"/>
      <c r="H6035"/>
      <c r="I6035"/>
    </row>
    <row r="6036" spans="2:9" ht="15" x14ac:dyDescent="0.25">
      <c r="B6036"/>
      <c r="C6036"/>
      <c r="D6036"/>
      <c r="E6036"/>
      <c r="F6036"/>
      <c r="G6036" s="20"/>
      <c r="H6036"/>
      <c r="I6036"/>
    </row>
    <row r="6037" spans="2:9" ht="15" x14ac:dyDescent="0.25">
      <c r="B6037"/>
      <c r="C6037"/>
      <c r="D6037"/>
      <c r="E6037"/>
      <c r="F6037"/>
      <c r="G6037" s="20"/>
      <c r="H6037"/>
      <c r="I6037"/>
    </row>
    <row r="6038" spans="2:9" ht="15" x14ac:dyDescent="0.25">
      <c r="B6038"/>
      <c r="C6038"/>
      <c r="D6038"/>
      <c r="E6038"/>
      <c r="F6038"/>
      <c r="G6038" s="20"/>
      <c r="H6038"/>
      <c r="I6038"/>
    </row>
    <row r="6039" spans="2:9" ht="15" x14ac:dyDescent="0.25">
      <c r="B6039"/>
      <c r="C6039"/>
      <c r="D6039"/>
      <c r="E6039"/>
      <c r="F6039"/>
      <c r="G6039" s="20"/>
      <c r="H6039"/>
      <c r="I6039"/>
    </row>
    <row r="6040" spans="2:9" ht="15" x14ac:dyDescent="0.25">
      <c r="B6040"/>
      <c r="C6040"/>
      <c r="D6040"/>
      <c r="E6040"/>
      <c r="F6040"/>
      <c r="G6040" s="20"/>
      <c r="H6040"/>
      <c r="I6040"/>
    </row>
    <row r="6041" spans="2:9" ht="15" x14ac:dyDescent="0.25">
      <c r="B6041"/>
      <c r="C6041"/>
      <c r="D6041"/>
      <c r="E6041"/>
      <c r="F6041"/>
      <c r="G6041" s="20"/>
      <c r="H6041"/>
      <c r="I6041"/>
    </row>
    <row r="6042" spans="2:9" ht="15" x14ac:dyDescent="0.25">
      <c r="B6042"/>
      <c r="C6042"/>
      <c r="D6042"/>
      <c r="E6042"/>
      <c r="F6042"/>
      <c r="G6042" s="20"/>
      <c r="H6042"/>
      <c r="I6042"/>
    </row>
    <row r="6043" spans="2:9" ht="15" x14ac:dyDescent="0.25">
      <c r="B6043"/>
      <c r="C6043"/>
      <c r="D6043"/>
      <c r="E6043"/>
      <c r="F6043"/>
      <c r="G6043" s="20"/>
      <c r="H6043"/>
      <c r="I6043"/>
    </row>
    <row r="6044" spans="2:9" ht="15" x14ac:dyDescent="0.25">
      <c r="B6044"/>
      <c r="C6044"/>
      <c r="D6044"/>
      <c r="E6044"/>
      <c r="F6044"/>
      <c r="G6044" s="20"/>
      <c r="H6044"/>
      <c r="I6044"/>
    </row>
    <row r="6045" spans="2:9" ht="15" x14ac:dyDescent="0.25">
      <c r="B6045"/>
      <c r="C6045"/>
      <c r="D6045"/>
      <c r="E6045"/>
      <c r="F6045"/>
      <c r="G6045" s="20"/>
      <c r="H6045"/>
      <c r="I6045"/>
    </row>
    <row r="6046" spans="2:9" ht="15" x14ac:dyDescent="0.25">
      <c r="B6046"/>
      <c r="C6046"/>
      <c r="D6046"/>
      <c r="E6046"/>
      <c r="F6046"/>
      <c r="G6046" s="20"/>
      <c r="H6046"/>
      <c r="I6046"/>
    </row>
    <row r="6047" spans="2:9" ht="15" x14ac:dyDescent="0.25">
      <c r="B6047"/>
      <c r="C6047"/>
      <c r="D6047"/>
      <c r="E6047"/>
      <c r="F6047"/>
      <c r="G6047" s="20"/>
      <c r="H6047"/>
      <c r="I6047"/>
    </row>
    <row r="6048" spans="2:9" ht="15" x14ac:dyDescent="0.25">
      <c r="B6048"/>
      <c r="C6048"/>
      <c r="D6048"/>
      <c r="E6048"/>
      <c r="F6048"/>
      <c r="G6048" s="20"/>
      <c r="H6048"/>
      <c r="I6048"/>
    </row>
    <row r="6049" spans="2:9" ht="15" x14ac:dyDescent="0.25">
      <c r="B6049"/>
      <c r="C6049"/>
      <c r="D6049"/>
      <c r="E6049"/>
      <c r="F6049"/>
      <c r="G6049" s="20"/>
      <c r="H6049"/>
      <c r="I6049"/>
    </row>
    <row r="6050" spans="2:9" ht="15" x14ac:dyDescent="0.25">
      <c r="B6050"/>
      <c r="C6050"/>
      <c r="D6050"/>
      <c r="E6050"/>
      <c r="F6050"/>
      <c r="G6050" s="20"/>
      <c r="H6050"/>
      <c r="I6050"/>
    </row>
    <row r="6051" spans="2:9" ht="15" x14ac:dyDescent="0.25">
      <c r="B6051"/>
      <c r="C6051"/>
      <c r="D6051"/>
      <c r="E6051"/>
      <c r="F6051"/>
      <c r="G6051" s="20"/>
      <c r="H6051"/>
      <c r="I6051"/>
    </row>
    <row r="6052" spans="2:9" ht="15" x14ac:dyDescent="0.25">
      <c r="B6052"/>
      <c r="C6052"/>
      <c r="D6052"/>
      <c r="E6052"/>
      <c r="F6052"/>
      <c r="G6052" s="20"/>
      <c r="H6052"/>
      <c r="I6052"/>
    </row>
    <row r="6053" spans="2:9" ht="15" x14ac:dyDescent="0.25">
      <c r="B6053"/>
      <c r="C6053"/>
      <c r="D6053"/>
      <c r="E6053"/>
      <c r="F6053"/>
      <c r="G6053" s="20"/>
      <c r="H6053"/>
      <c r="I6053"/>
    </row>
    <row r="6054" spans="2:9" ht="15" x14ac:dyDescent="0.25">
      <c r="B6054"/>
      <c r="C6054"/>
      <c r="D6054"/>
      <c r="E6054"/>
      <c r="F6054"/>
      <c r="G6054" s="20"/>
      <c r="H6054"/>
      <c r="I6054"/>
    </row>
    <row r="6055" spans="2:9" ht="15" x14ac:dyDescent="0.25">
      <c r="B6055"/>
      <c r="C6055"/>
      <c r="D6055"/>
      <c r="E6055"/>
      <c r="F6055"/>
      <c r="G6055" s="20"/>
      <c r="H6055"/>
      <c r="I6055"/>
    </row>
    <row r="6056" spans="2:9" ht="15" x14ac:dyDescent="0.25">
      <c r="B6056"/>
      <c r="C6056"/>
      <c r="D6056"/>
      <c r="E6056"/>
      <c r="F6056"/>
      <c r="G6056" s="20"/>
      <c r="H6056"/>
      <c r="I6056"/>
    </row>
    <row r="6057" spans="2:9" ht="15" x14ac:dyDescent="0.25">
      <c r="B6057"/>
      <c r="C6057"/>
      <c r="D6057"/>
      <c r="E6057"/>
      <c r="F6057"/>
      <c r="G6057" s="20"/>
      <c r="H6057"/>
      <c r="I6057"/>
    </row>
    <row r="6058" spans="2:9" ht="15" x14ac:dyDescent="0.25">
      <c r="B6058"/>
      <c r="C6058"/>
      <c r="D6058"/>
      <c r="E6058"/>
      <c r="F6058"/>
      <c r="G6058" s="20"/>
      <c r="H6058"/>
      <c r="I6058"/>
    </row>
    <row r="6059" spans="2:9" ht="15" x14ac:dyDescent="0.25">
      <c r="B6059"/>
      <c r="C6059"/>
      <c r="D6059"/>
      <c r="E6059"/>
      <c r="F6059"/>
      <c r="G6059" s="20"/>
      <c r="H6059"/>
      <c r="I6059"/>
    </row>
    <row r="6060" spans="2:9" ht="15" x14ac:dyDescent="0.25">
      <c r="B6060"/>
      <c r="C6060"/>
      <c r="D6060"/>
      <c r="E6060"/>
      <c r="F6060"/>
      <c r="G6060" s="20"/>
      <c r="H6060"/>
      <c r="I6060"/>
    </row>
    <row r="6061" spans="2:9" ht="15" x14ac:dyDescent="0.25">
      <c r="B6061"/>
      <c r="C6061"/>
      <c r="D6061"/>
      <c r="E6061"/>
      <c r="F6061"/>
      <c r="G6061" s="20"/>
      <c r="H6061"/>
      <c r="I6061"/>
    </row>
    <row r="6062" spans="2:9" ht="15" x14ac:dyDescent="0.25">
      <c r="B6062"/>
      <c r="C6062"/>
      <c r="D6062"/>
      <c r="E6062"/>
      <c r="F6062"/>
      <c r="G6062" s="20"/>
      <c r="H6062"/>
      <c r="I6062"/>
    </row>
    <row r="6063" spans="2:9" ht="15" x14ac:dyDescent="0.25">
      <c r="B6063"/>
      <c r="C6063"/>
      <c r="D6063"/>
      <c r="E6063"/>
      <c r="F6063"/>
      <c r="G6063" s="20"/>
      <c r="H6063"/>
      <c r="I6063"/>
    </row>
    <row r="6064" spans="2:9" ht="15" x14ac:dyDescent="0.25">
      <c r="B6064"/>
      <c r="C6064"/>
      <c r="D6064"/>
      <c r="E6064"/>
      <c r="F6064"/>
      <c r="G6064" s="20"/>
      <c r="H6064"/>
      <c r="I6064"/>
    </row>
    <row r="6065" spans="2:9" ht="15" x14ac:dyDescent="0.25">
      <c r="B6065"/>
      <c r="C6065"/>
      <c r="D6065"/>
      <c r="E6065"/>
      <c r="F6065"/>
      <c r="G6065" s="20"/>
      <c r="H6065"/>
      <c r="I6065"/>
    </row>
    <row r="6066" spans="2:9" ht="15" x14ac:dyDescent="0.25">
      <c r="B6066"/>
      <c r="C6066"/>
      <c r="D6066"/>
      <c r="E6066"/>
      <c r="F6066"/>
      <c r="G6066" s="20"/>
      <c r="H6066"/>
      <c r="I6066"/>
    </row>
    <row r="6067" spans="2:9" ht="15" x14ac:dyDescent="0.25">
      <c r="B6067"/>
      <c r="C6067"/>
      <c r="D6067"/>
      <c r="E6067"/>
      <c r="F6067"/>
      <c r="G6067" s="20"/>
      <c r="H6067"/>
      <c r="I6067"/>
    </row>
    <row r="6068" spans="2:9" ht="15" x14ac:dyDescent="0.25">
      <c r="B6068"/>
      <c r="C6068"/>
      <c r="D6068"/>
      <c r="E6068"/>
      <c r="F6068"/>
      <c r="G6068" s="20"/>
      <c r="H6068"/>
      <c r="I6068"/>
    </row>
    <row r="6069" spans="2:9" ht="15" x14ac:dyDescent="0.25">
      <c r="B6069"/>
      <c r="C6069"/>
      <c r="D6069"/>
      <c r="E6069"/>
      <c r="F6069"/>
      <c r="G6069" s="20"/>
      <c r="H6069"/>
      <c r="I6069"/>
    </row>
    <row r="6070" spans="2:9" ht="15" x14ac:dyDescent="0.25">
      <c r="B6070"/>
      <c r="C6070"/>
      <c r="D6070"/>
      <c r="E6070"/>
      <c r="F6070"/>
      <c r="G6070" s="20"/>
      <c r="H6070"/>
      <c r="I6070"/>
    </row>
    <row r="6071" spans="2:9" ht="15" x14ac:dyDescent="0.25">
      <c r="B6071"/>
      <c r="C6071"/>
      <c r="D6071"/>
      <c r="E6071"/>
      <c r="F6071"/>
      <c r="G6071" s="20"/>
      <c r="H6071"/>
      <c r="I6071"/>
    </row>
    <row r="6072" spans="2:9" ht="15" x14ac:dyDescent="0.25">
      <c r="B6072"/>
      <c r="C6072"/>
      <c r="D6072"/>
      <c r="E6072"/>
      <c r="F6072"/>
      <c r="G6072" s="20"/>
      <c r="H6072"/>
      <c r="I6072"/>
    </row>
    <row r="6073" spans="2:9" ht="15" x14ac:dyDescent="0.25">
      <c r="B6073"/>
      <c r="C6073"/>
      <c r="D6073"/>
      <c r="E6073"/>
      <c r="F6073"/>
      <c r="G6073" s="20"/>
      <c r="H6073"/>
      <c r="I6073"/>
    </row>
    <row r="6074" spans="2:9" ht="15" x14ac:dyDescent="0.25">
      <c r="B6074"/>
      <c r="C6074"/>
      <c r="D6074"/>
      <c r="E6074"/>
      <c r="F6074"/>
      <c r="G6074" s="20"/>
      <c r="H6074"/>
      <c r="I6074"/>
    </row>
    <row r="6075" spans="2:9" ht="15" x14ac:dyDescent="0.25">
      <c r="B6075"/>
      <c r="C6075"/>
      <c r="D6075"/>
      <c r="E6075"/>
      <c r="F6075"/>
      <c r="G6075" s="20"/>
      <c r="H6075"/>
      <c r="I6075"/>
    </row>
    <row r="6076" spans="2:9" ht="15" x14ac:dyDescent="0.25">
      <c r="B6076"/>
      <c r="C6076"/>
      <c r="D6076"/>
      <c r="E6076"/>
      <c r="F6076"/>
      <c r="G6076" s="20"/>
      <c r="H6076"/>
      <c r="I6076"/>
    </row>
    <row r="6077" spans="2:9" ht="15" x14ac:dyDescent="0.25">
      <c r="B6077"/>
      <c r="C6077"/>
      <c r="D6077"/>
      <c r="E6077"/>
      <c r="F6077"/>
      <c r="G6077" s="20"/>
      <c r="H6077"/>
      <c r="I6077"/>
    </row>
    <row r="6078" spans="2:9" ht="15" x14ac:dyDescent="0.25">
      <c r="B6078"/>
      <c r="C6078"/>
      <c r="D6078"/>
      <c r="E6078"/>
      <c r="F6078"/>
      <c r="G6078" s="20"/>
      <c r="H6078"/>
      <c r="I6078"/>
    </row>
    <row r="6079" spans="2:9" ht="15" x14ac:dyDescent="0.25">
      <c r="B6079"/>
      <c r="C6079"/>
      <c r="D6079"/>
      <c r="E6079"/>
      <c r="F6079"/>
      <c r="G6079" s="20"/>
      <c r="H6079"/>
      <c r="I6079"/>
    </row>
    <row r="6080" spans="2:9" ht="15" x14ac:dyDescent="0.25">
      <c r="B6080"/>
      <c r="C6080"/>
      <c r="D6080"/>
      <c r="E6080"/>
      <c r="F6080"/>
      <c r="G6080" s="20"/>
      <c r="H6080"/>
      <c r="I6080"/>
    </row>
    <row r="6081" spans="2:9" ht="15" x14ac:dyDescent="0.25">
      <c r="B6081"/>
      <c r="C6081"/>
      <c r="D6081"/>
      <c r="E6081"/>
      <c r="F6081"/>
      <c r="G6081" s="20"/>
      <c r="H6081"/>
      <c r="I6081"/>
    </row>
    <row r="6082" spans="2:9" ht="15" x14ac:dyDescent="0.25">
      <c r="B6082"/>
      <c r="C6082"/>
      <c r="D6082"/>
      <c r="E6082"/>
      <c r="F6082"/>
      <c r="G6082" s="20"/>
      <c r="H6082"/>
      <c r="I6082"/>
    </row>
    <row r="6083" spans="2:9" ht="15" x14ac:dyDescent="0.25">
      <c r="B6083"/>
      <c r="C6083"/>
      <c r="D6083"/>
      <c r="E6083"/>
      <c r="F6083"/>
      <c r="G6083" s="20"/>
      <c r="H6083"/>
      <c r="I6083"/>
    </row>
    <row r="6084" spans="2:9" ht="15" x14ac:dyDescent="0.25">
      <c r="B6084"/>
      <c r="C6084"/>
      <c r="D6084"/>
      <c r="E6084"/>
      <c r="F6084"/>
      <c r="G6084" s="20"/>
      <c r="H6084"/>
      <c r="I6084"/>
    </row>
    <row r="6085" spans="2:9" ht="15" x14ac:dyDescent="0.25">
      <c r="B6085"/>
      <c r="C6085"/>
      <c r="D6085"/>
      <c r="E6085"/>
      <c r="F6085"/>
      <c r="G6085" s="20"/>
      <c r="H6085"/>
      <c r="I6085"/>
    </row>
    <row r="6086" spans="2:9" ht="15" x14ac:dyDescent="0.25">
      <c r="B6086"/>
      <c r="C6086"/>
      <c r="D6086"/>
      <c r="E6086"/>
      <c r="F6086"/>
      <c r="G6086" s="20"/>
      <c r="H6086"/>
      <c r="I6086"/>
    </row>
    <row r="6087" spans="2:9" ht="15" x14ac:dyDescent="0.25">
      <c r="B6087"/>
      <c r="C6087"/>
      <c r="D6087"/>
      <c r="E6087"/>
      <c r="F6087"/>
      <c r="G6087" s="20"/>
      <c r="H6087"/>
      <c r="I6087"/>
    </row>
    <row r="6088" spans="2:9" ht="15" x14ac:dyDescent="0.25">
      <c r="B6088"/>
      <c r="C6088"/>
      <c r="D6088"/>
      <c r="E6088"/>
      <c r="F6088"/>
      <c r="G6088" s="20"/>
      <c r="H6088"/>
      <c r="I6088"/>
    </row>
    <row r="6089" spans="2:9" ht="15" x14ac:dyDescent="0.25">
      <c r="B6089"/>
      <c r="C6089"/>
      <c r="D6089"/>
      <c r="E6089"/>
      <c r="F6089"/>
      <c r="G6089" s="20"/>
      <c r="H6089"/>
      <c r="I6089"/>
    </row>
    <row r="6090" spans="2:9" ht="15" x14ac:dyDescent="0.25">
      <c r="B6090"/>
      <c r="C6090"/>
      <c r="D6090"/>
      <c r="E6090"/>
      <c r="F6090"/>
      <c r="G6090" s="20"/>
      <c r="H6090"/>
      <c r="I6090"/>
    </row>
    <row r="6091" spans="2:9" ht="15" x14ac:dyDescent="0.25">
      <c r="B6091"/>
      <c r="C6091"/>
      <c r="D6091"/>
      <c r="E6091"/>
      <c r="F6091"/>
      <c r="G6091" s="20"/>
      <c r="H6091"/>
      <c r="I6091"/>
    </row>
    <row r="6092" spans="2:9" ht="15" x14ac:dyDescent="0.25">
      <c r="B6092"/>
      <c r="C6092"/>
      <c r="D6092"/>
      <c r="E6092"/>
      <c r="F6092"/>
      <c r="G6092" s="20"/>
      <c r="H6092"/>
      <c r="I6092"/>
    </row>
    <row r="6093" spans="2:9" ht="15" x14ac:dyDescent="0.25">
      <c r="B6093"/>
      <c r="C6093"/>
      <c r="D6093"/>
      <c r="E6093"/>
      <c r="F6093"/>
      <c r="G6093" s="20"/>
      <c r="H6093"/>
      <c r="I6093"/>
    </row>
    <row r="6094" spans="2:9" ht="15" x14ac:dyDescent="0.25">
      <c r="B6094"/>
      <c r="C6094"/>
      <c r="D6094"/>
      <c r="E6094"/>
      <c r="F6094"/>
      <c r="G6094" s="20"/>
      <c r="H6094"/>
      <c r="I6094"/>
    </row>
    <row r="6095" spans="2:9" ht="15" x14ac:dyDescent="0.25">
      <c r="B6095"/>
      <c r="C6095"/>
      <c r="D6095"/>
      <c r="E6095"/>
      <c r="F6095"/>
      <c r="G6095" s="20"/>
      <c r="H6095"/>
      <c r="I6095"/>
    </row>
    <row r="6096" spans="2:9" ht="15" x14ac:dyDescent="0.25">
      <c r="B6096"/>
      <c r="C6096"/>
      <c r="D6096"/>
      <c r="E6096"/>
      <c r="F6096"/>
      <c r="G6096" s="20"/>
      <c r="H6096"/>
      <c r="I6096"/>
    </row>
    <row r="6097" spans="2:9" ht="15" x14ac:dyDescent="0.25">
      <c r="B6097"/>
      <c r="C6097"/>
      <c r="D6097"/>
      <c r="E6097"/>
      <c r="F6097"/>
      <c r="G6097" s="20"/>
      <c r="H6097"/>
      <c r="I6097"/>
    </row>
    <row r="6098" spans="2:9" ht="15" x14ac:dyDescent="0.25">
      <c r="B6098"/>
      <c r="C6098"/>
      <c r="D6098"/>
      <c r="E6098"/>
      <c r="F6098"/>
      <c r="G6098" s="20"/>
      <c r="H6098"/>
      <c r="I6098"/>
    </row>
    <row r="6099" spans="2:9" ht="15" x14ac:dyDescent="0.25">
      <c r="B6099"/>
      <c r="C6099"/>
      <c r="D6099"/>
      <c r="E6099"/>
      <c r="F6099"/>
      <c r="G6099" s="20"/>
      <c r="H6099"/>
      <c r="I6099"/>
    </row>
    <row r="6100" spans="2:9" ht="15" x14ac:dyDescent="0.25">
      <c r="B6100"/>
      <c r="C6100"/>
      <c r="D6100"/>
      <c r="E6100"/>
      <c r="F6100"/>
      <c r="G6100" s="20"/>
      <c r="H6100"/>
      <c r="I6100"/>
    </row>
    <row r="6101" spans="2:9" ht="15" x14ac:dyDescent="0.25">
      <c r="B6101"/>
      <c r="C6101"/>
      <c r="D6101"/>
      <c r="E6101"/>
      <c r="F6101"/>
      <c r="G6101" s="20"/>
      <c r="H6101"/>
      <c r="I6101"/>
    </row>
    <row r="6102" spans="2:9" ht="15" x14ac:dyDescent="0.25">
      <c r="B6102"/>
      <c r="C6102"/>
      <c r="D6102"/>
      <c r="E6102"/>
      <c r="F6102"/>
      <c r="G6102" s="20"/>
      <c r="H6102"/>
      <c r="I6102"/>
    </row>
    <row r="6103" spans="2:9" ht="15" x14ac:dyDescent="0.25">
      <c r="B6103"/>
      <c r="C6103"/>
      <c r="D6103"/>
      <c r="E6103"/>
      <c r="F6103"/>
      <c r="G6103" s="20"/>
      <c r="H6103"/>
      <c r="I6103"/>
    </row>
    <row r="6104" spans="2:9" ht="15" x14ac:dyDescent="0.25">
      <c r="B6104"/>
      <c r="C6104"/>
      <c r="D6104"/>
      <c r="E6104"/>
      <c r="F6104"/>
      <c r="G6104" s="20"/>
      <c r="H6104"/>
      <c r="I6104"/>
    </row>
    <row r="6105" spans="2:9" ht="15" x14ac:dyDescent="0.25">
      <c r="B6105"/>
      <c r="C6105"/>
      <c r="D6105"/>
      <c r="E6105"/>
      <c r="F6105"/>
      <c r="G6105" s="20"/>
      <c r="H6105"/>
      <c r="I6105"/>
    </row>
    <row r="6106" spans="2:9" ht="15" x14ac:dyDescent="0.25">
      <c r="B6106"/>
      <c r="C6106"/>
      <c r="D6106"/>
      <c r="E6106"/>
      <c r="F6106"/>
      <c r="G6106" s="20"/>
      <c r="H6106"/>
      <c r="I6106"/>
    </row>
    <row r="6107" spans="2:9" ht="15" x14ac:dyDescent="0.25">
      <c r="B6107"/>
      <c r="C6107"/>
      <c r="D6107"/>
      <c r="E6107"/>
      <c r="F6107"/>
      <c r="G6107" s="20"/>
      <c r="H6107"/>
      <c r="I6107"/>
    </row>
    <row r="6108" spans="2:9" ht="15" x14ac:dyDescent="0.25">
      <c r="B6108"/>
      <c r="C6108"/>
      <c r="D6108"/>
      <c r="E6108"/>
      <c r="F6108"/>
      <c r="G6108" s="20"/>
      <c r="H6108"/>
      <c r="I6108"/>
    </row>
    <row r="6109" spans="2:9" ht="15" x14ac:dyDescent="0.25">
      <c r="B6109"/>
      <c r="C6109"/>
      <c r="D6109"/>
      <c r="E6109"/>
      <c r="F6109"/>
      <c r="G6109" s="20"/>
      <c r="H6109"/>
      <c r="I6109"/>
    </row>
    <row r="6110" spans="2:9" ht="15" x14ac:dyDescent="0.25">
      <c r="B6110"/>
      <c r="C6110"/>
      <c r="D6110"/>
      <c r="E6110"/>
      <c r="F6110"/>
      <c r="G6110" s="20"/>
      <c r="H6110"/>
      <c r="I6110"/>
    </row>
    <row r="6111" spans="2:9" ht="15" x14ac:dyDescent="0.25">
      <c r="B6111"/>
      <c r="C6111"/>
      <c r="D6111"/>
      <c r="E6111"/>
      <c r="F6111"/>
      <c r="G6111" s="20"/>
      <c r="H6111"/>
      <c r="I6111"/>
    </row>
    <row r="6112" spans="2:9" ht="15" x14ac:dyDescent="0.25">
      <c r="B6112"/>
      <c r="C6112"/>
      <c r="D6112"/>
      <c r="E6112"/>
      <c r="F6112"/>
      <c r="G6112" s="20"/>
      <c r="H6112"/>
      <c r="I6112"/>
    </row>
    <row r="6113" spans="2:9" ht="15" x14ac:dyDescent="0.25">
      <c r="B6113"/>
      <c r="C6113"/>
      <c r="D6113"/>
      <c r="E6113"/>
      <c r="F6113"/>
      <c r="G6113" s="20"/>
      <c r="H6113"/>
      <c r="I6113"/>
    </row>
    <row r="6114" spans="2:9" ht="15" x14ac:dyDescent="0.25">
      <c r="B6114"/>
      <c r="C6114"/>
      <c r="D6114"/>
      <c r="E6114"/>
      <c r="F6114"/>
      <c r="G6114" s="20"/>
      <c r="H6114"/>
      <c r="I6114"/>
    </row>
    <row r="6115" spans="2:9" ht="15" x14ac:dyDescent="0.25">
      <c r="B6115"/>
      <c r="C6115"/>
      <c r="D6115"/>
      <c r="E6115"/>
      <c r="F6115"/>
      <c r="G6115" s="20"/>
      <c r="H6115"/>
      <c r="I6115"/>
    </row>
    <row r="6116" spans="2:9" ht="15" x14ac:dyDescent="0.25">
      <c r="B6116"/>
      <c r="C6116"/>
      <c r="D6116"/>
      <c r="E6116"/>
      <c r="F6116"/>
      <c r="G6116" s="20"/>
      <c r="H6116"/>
      <c r="I6116"/>
    </row>
    <row r="6117" spans="2:9" ht="15" x14ac:dyDescent="0.25">
      <c r="B6117"/>
      <c r="C6117"/>
      <c r="D6117"/>
      <c r="E6117"/>
      <c r="F6117"/>
      <c r="G6117" s="20"/>
      <c r="H6117"/>
      <c r="I6117"/>
    </row>
    <row r="6118" spans="2:9" ht="15" x14ac:dyDescent="0.25">
      <c r="B6118"/>
      <c r="C6118"/>
      <c r="D6118"/>
      <c r="E6118"/>
      <c r="F6118"/>
      <c r="G6118" s="20"/>
      <c r="H6118"/>
      <c r="I6118"/>
    </row>
    <row r="6119" spans="2:9" ht="15" x14ac:dyDescent="0.25">
      <c r="B6119"/>
      <c r="C6119"/>
      <c r="D6119"/>
      <c r="E6119"/>
      <c r="F6119"/>
      <c r="G6119" s="20"/>
      <c r="H6119"/>
      <c r="I6119"/>
    </row>
    <row r="6120" spans="2:9" ht="15" x14ac:dyDescent="0.25">
      <c r="B6120"/>
      <c r="C6120"/>
      <c r="D6120"/>
      <c r="E6120"/>
      <c r="F6120"/>
      <c r="G6120" s="20"/>
      <c r="H6120"/>
      <c r="I6120"/>
    </row>
    <row r="6121" spans="2:9" ht="15" x14ac:dyDescent="0.25">
      <c r="B6121"/>
      <c r="C6121"/>
      <c r="D6121"/>
      <c r="E6121"/>
      <c r="F6121"/>
      <c r="G6121" s="20"/>
      <c r="H6121"/>
      <c r="I6121"/>
    </row>
    <row r="6122" spans="2:9" ht="15" x14ac:dyDescent="0.25">
      <c r="B6122"/>
      <c r="C6122"/>
      <c r="D6122"/>
      <c r="E6122"/>
      <c r="F6122"/>
      <c r="G6122" s="20"/>
      <c r="H6122"/>
      <c r="I6122"/>
    </row>
    <row r="6123" spans="2:9" ht="15" x14ac:dyDescent="0.25">
      <c r="B6123"/>
      <c r="C6123"/>
      <c r="D6123"/>
      <c r="E6123"/>
      <c r="F6123"/>
      <c r="G6123" s="20"/>
      <c r="H6123"/>
      <c r="I6123"/>
    </row>
    <row r="6124" spans="2:9" ht="15" x14ac:dyDescent="0.25">
      <c r="B6124"/>
      <c r="C6124"/>
      <c r="D6124"/>
      <c r="E6124"/>
      <c r="F6124"/>
      <c r="G6124" s="20"/>
      <c r="H6124"/>
      <c r="I6124"/>
    </row>
    <row r="6125" spans="2:9" ht="15" x14ac:dyDescent="0.25">
      <c r="B6125"/>
      <c r="C6125"/>
      <c r="D6125"/>
      <c r="E6125"/>
      <c r="F6125"/>
      <c r="G6125" s="20"/>
      <c r="H6125"/>
      <c r="I6125"/>
    </row>
    <row r="6126" spans="2:9" ht="15" x14ac:dyDescent="0.25">
      <c r="B6126"/>
      <c r="C6126"/>
      <c r="D6126"/>
      <c r="E6126"/>
      <c r="F6126"/>
      <c r="G6126" s="20"/>
      <c r="H6126"/>
      <c r="I6126"/>
    </row>
    <row r="6127" spans="2:9" ht="15" x14ac:dyDescent="0.25">
      <c r="B6127"/>
      <c r="C6127"/>
      <c r="D6127"/>
      <c r="E6127"/>
      <c r="F6127"/>
      <c r="G6127" s="20"/>
      <c r="H6127"/>
      <c r="I6127"/>
    </row>
    <row r="6128" spans="2:9" ht="15" x14ac:dyDescent="0.25">
      <c r="B6128"/>
      <c r="C6128"/>
      <c r="D6128"/>
      <c r="E6128"/>
      <c r="F6128"/>
      <c r="G6128" s="20"/>
      <c r="H6128"/>
      <c r="I6128"/>
    </row>
    <row r="6129" spans="2:9" ht="15" x14ac:dyDescent="0.25">
      <c r="B6129"/>
      <c r="C6129"/>
      <c r="D6129"/>
      <c r="E6129"/>
      <c r="F6129"/>
      <c r="G6129" s="20"/>
      <c r="H6129"/>
      <c r="I6129"/>
    </row>
    <row r="6130" spans="2:9" ht="15" x14ac:dyDescent="0.25">
      <c r="B6130"/>
      <c r="C6130"/>
      <c r="D6130"/>
      <c r="E6130"/>
      <c r="F6130"/>
      <c r="G6130" s="20"/>
      <c r="H6130"/>
      <c r="I6130"/>
    </row>
    <row r="6131" spans="2:9" ht="15" x14ac:dyDescent="0.25">
      <c r="B6131"/>
      <c r="C6131"/>
      <c r="D6131"/>
      <c r="E6131"/>
      <c r="F6131"/>
      <c r="G6131" s="20"/>
      <c r="H6131"/>
      <c r="I6131"/>
    </row>
    <row r="6132" spans="2:9" ht="15" x14ac:dyDescent="0.25">
      <c r="B6132"/>
      <c r="C6132"/>
      <c r="D6132"/>
      <c r="E6132"/>
      <c r="F6132"/>
      <c r="G6132" s="20"/>
      <c r="H6132"/>
      <c r="I6132"/>
    </row>
    <row r="6133" spans="2:9" ht="15" x14ac:dyDescent="0.25">
      <c r="B6133"/>
      <c r="C6133"/>
      <c r="D6133"/>
      <c r="E6133"/>
      <c r="F6133"/>
      <c r="G6133" s="20"/>
      <c r="H6133"/>
      <c r="I6133"/>
    </row>
    <row r="6134" spans="2:9" ht="15" x14ac:dyDescent="0.25">
      <c r="B6134"/>
      <c r="C6134"/>
      <c r="D6134"/>
      <c r="E6134"/>
      <c r="F6134"/>
      <c r="G6134" s="20"/>
      <c r="H6134"/>
      <c r="I6134"/>
    </row>
    <row r="6135" spans="2:9" ht="15" x14ac:dyDescent="0.25">
      <c r="B6135"/>
      <c r="C6135"/>
      <c r="D6135"/>
      <c r="E6135"/>
      <c r="F6135"/>
      <c r="G6135" s="20"/>
      <c r="H6135"/>
      <c r="I6135"/>
    </row>
    <row r="6136" spans="2:9" ht="15" x14ac:dyDescent="0.25">
      <c r="B6136"/>
      <c r="C6136"/>
      <c r="D6136"/>
      <c r="E6136"/>
      <c r="F6136"/>
      <c r="G6136" s="20"/>
      <c r="H6136"/>
      <c r="I6136"/>
    </row>
    <row r="6137" spans="2:9" ht="15" x14ac:dyDescent="0.25">
      <c r="B6137"/>
      <c r="C6137"/>
      <c r="D6137"/>
      <c r="E6137"/>
      <c r="F6137"/>
      <c r="G6137" s="20"/>
      <c r="H6137"/>
      <c r="I6137"/>
    </row>
    <row r="6138" spans="2:9" ht="15" x14ac:dyDescent="0.25">
      <c r="B6138"/>
      <c r="C6138"/>
      <c r="D6138"/>
      <c r="E6138"/>
      <c r="F6138"/>
      <c r="G6138" s="20"/>
      <c r="H6138"/>
      <c r="I6138"/>
    </row>
    <row r="6139" spans="2:9" ht="15" x14ac:dyDescent="0.25">
      <c r="B6139"/>
      <c r="C6139"/>
      <c r="D6139"/>
      <c r="E6139"/>
      <c r="F6139"/>
      <c r="G6139" s="20"/>
      <c r="H6139"/>
      <c r="I6139"/>
    </row>
    <row r="6140" spans="2:9" ht="15" x14ac:dyDescent="0.25">
      <c r="B6140"/>
      <c r="C6140"/>
      <c r="D6140"/>
      <c r="E6140"/>
      <c r="F6140"/>
      <c r="G6140" s="20"/>
      <c r="H6140"/>
      <c r="I6140"/>
    </row>
    <row r="6141" spans="2:9" ht="15" x14ac:dyDescent="0.25">
      <c r="B6141"/>
      <c r="C6141"/>
      <c r="D6141"/>
      <c r="E6141"/>
      <c r="F6141"/>
      <c r="G6141" s="20"/>
      <c r="H6141"/>
      <c r="I6141"/>
    </row>
    <row r="6142" spans="2:9" ht="15" x14ac:dyDescent="0.25">
      <c r="B6142"/>
      <c r="C6142"/>
      <c r="D6142"/>
      <c r="E6142"/>
      <c r="F6142"/>
      <c r="G6142" s="20"/>
      <c r="H6142"/>
      <c r="I6142"/>
    </row>
    <row r="6143" spans="2:9" ht="15" x14ac:dyDescent="0.25">
      <c r="B6143"/>
      <c r="C6143"/>
      <c r="D6143"/>
      <c r="E6143"/>
      <c r="F6143"/>
      <c r="G6143" s="20"/>
      <c r="H6143"/>
      <c r="I6143"/>
    </row>
    <row r="6144" spans="2:9" ht="15" x14ac:dyDescent="0.25">
      <c r="B6144"/>
      <c r="C6144"/>
      <c r="D6144"/>
      <c r="E6144"/>
      <c r="F6144"/>
      <c r="G6144" s="20"/>
      <c r="H6144"/>
      <c r="I6144"/>
    </row>
    <row r="6145" spans="2:9" ht="15" x14ac:dyDescent="0.25">
      <c r="B6145"/>
      <c r="C6145"/>
      <c r="D6145"/>
      <c r="E6145"/>
      <c r="F6145"/>
      <c r="G6145" s="20"/>
      <c r="H6145"/>
      <c r="I6145"/>
    </row>
    <row r="6146" spans="2:9" ht="15" x14ac:dyDescent="0.25">
      <c r="B6146"/>
      <c r="C6146"/>
      <c r="D6146"/>
      <c r="E6146"/>
      <c r="F6146"/>
      <c r="G6146" s="20"/>
      <c r="H6146"/>
      <c r="I6146"/>
    </row>
    <row r="6147" spans="2:9" ht="15" x14ac:dyDescent="0.25">
      <c r="B6147"/>
      <c r="C6147"/>
      <c r="D6147"/>
      <c r="E6147"/>
      <c r="F6147"/>
      <c r="G6147" s="20"/>
      <c r="H6147"/>
      <c r="I6147"/>
    </row>
    <row r="6148" spans="2:9" ht="15" x14ac:dyDescent="0.25">
      <c r="B6148"/>
      <c r="C6148"/>
      <c r="D6148"/>
      <c r="E6148"/>
      <c r="F6148"/>
      <c r="G6148" s="20"/>
      <c r="H6148"/>
      <c r="I6148"/>
    </row>
    <row r="6149" spans="2:9" ht="15" x14ac:dyDescent="0.25">
      <c r="B6149"/>
      <c r="C6149"/>
      <c r="D6149"/>
      <c r="E6149"/>
      <c r="F6149"/>
      <c r="G6149" s="20"/>
      <c r="H6149"/>
      <c r="I6149"/>
    </row>
    <row r="6150" spans="2:9" ht="15" x14ac:dyDescent="0.25">
      <c r="B6150"/>
      <c r="C6150"/>
      <c r="D6150"/>
      <c r="E6150"/>
      <c r="F6150"/>
      <c r="G6150" s="20"/>
      <c r="H6150"/>
      <c r="I6150"/>
    </row>
    <row r="6151" spans="2:9" ht="15" x14ac:dyDescent="0.25">
      <c r="B6151"/>
      <c r="C6151"/>
      <c r="D6151"/>
      <c r="E6151"/>
      <c r="F6151"/>
      <c r="G6151" s="20"/>
      <c r="H6151"/>
      <c r="I6151"/>
    </row>
    <row r="6152" spans="2:9" ht="15" x14ac:dyDescent="0.25">
      <c r="B6152"/>
      <c r="C6152"/>
      <c r="D6152"/>
      <c r="E6152"/>
      <c r="F6152"/>
      <c r="G6152" s="20"/>
      <c r="H6152"/>
      <c r="I6152"/>
    </row>
    <row r="6153" spans="2:9" ht="15" x14ac:dyDescent="0.25">
      <c r="B6153"/>
      <c r="C6153"/>
      <c r="D6153"/>
      <c r="E6153"/>
      <c r="F6153"/>
      <c r="G6153" s="20"/>
      <c r="H6153"/>
      <c r="I6153"/>
    </row>
    <row r="6154" spans="2:9" ht="15" x14ac:dyDescent="0.25">
      <c r="B6154"/>
      <c r="C6154"/>
      <c r="D6154"/>
      <c r="E6154"/>
      <c r="F6154"/>
      <c r="G6154" s="20"/>
      <c r="H6154"/>
      <c r="I6154"/>
    </row>
    <row r="6155" spans="2:9" ht="15" x14ac:dyDescent="0.25">
      <c r="B6155"/>
      <c r="C6155"/>
      <c r="D6155"/>
      <c r="E6155"/>
      <c r="F6155"/>
      <c r="G6155" s="20"/>
      <c r="H6155"/>
      <c r="I6155"/>
    </row>
    <row r="6156" spans="2:9" ht="15" x14ac:dyDescent="0.25">
      <c r="B6156"/>
      <c r="C6156"/>
      <c r="D6156"/>
      <c r="E6156"/>
      <c r="F6156"/>
      <c r="G6156" s="20"/>
      <c r="H6156"/>
      <c r="I6156"/>
    </row>
    <row r="6157" spans="2:9" ht="15" x14ac:dyDescent="0.25">
      <c r="B6157"/>
      <c r="C6157"/>
      <c r="D6157"/>
      <c r="E6157"/>
      <c r="F6157"/>
      <c r="G6157" s="20"/>
      <c r="H6157"/>
      <c r="I6157"/>
    </row>
    <row r="6158" spans="2:9" ht="15" x14ac:dyDescent="0.25">
      <c r="B6158"/>
      <c r="C6158"/>
      <c r="D6158"/>
      <c r="E6158"/>
      <c r="F6158"/>
      <c r="G6158" s="20"/>
      <c r="H6158"/>
      <c r="I6158"/>
    </row>
    <row r="6159" spans="2:9" ht="15" x14ac:dyDescent="0.25">
      <c r="B6159"/>
      <c r="C6159"/>
      <c r="D6159"/>
      <c r="E6159"/>
      <c r="F6159"/>
      <c r="G6159" s="20"/>
      <c r="H6159"/>
      <c r="I6159"/>
    </row>
    <row r="6160" spans="2:9" ht="15" x14ac:dyDescent="0.25">
      <c r="B6160"/>
      <c r="C6160"/>
      <c r="D6160"/>
      <c r="E6160"/>
      <c r="F6160"/>
      <c r="G6160" s="20"/>
      <c r="H6160"/>
      <c r="I6160"/>
    </row>
    <row r="6161" spans="2:9" ht="15" x14ac:dyDescent="0.25">
      <c r="B6161"/>
      <c r="C6161"/>
      <c r="D6161"/>
      <c r="E6161"/>
      <c r="F6161"/>
      <c r="G6161" s="20"/>
      <c r="H6161"/>
      <c r="I6161"/>
    </row>
    <row r="6162" spans="2:9" ht="15" x14ac:dyDescent="0.25">
      <c r="B6162"/>
      <c r="C6162"/>
      <c r="D6162"/>
      <c r="E6162"/>
      <c r="F6162"/>
      <c r="G6162" s="20"/>
      <c r="H6162"/>
      <c r="I6162"/>
    </row>
    <row r="6163" spans="2:9" ht="15" x14ac:dyDescent="0.25">
      <c r="B6163"/>
      <c r="C6163"/>
      <c r="D6163"/>
      <c r="E6163"/>
      <c r="F6163"/>
      <c r="G6163" s="20"/>
      <c r="H6163"/>
      <c r="I6163"/>
    </row>
    <row r="6164" spans="2:9" ht="15" x14ac:dyDescent="0.25">
      <c r="B6164"/>
      <c r="C6164"/>
      <c r="D6164"/>
      <c r="E6164"/>
      <c r="F6164"/>
      <c r="G6164" s="20"/>
      <c r="H6164"/>
      <c r="I6164"/>
    </row>
    <row r="6165" spans="2:9" ht="15" x14ac:dyDescent="0.25">
      <c r="B6165"/>
      <c r="C6165"/>
      <c r="D6165"/>
      <c r="E6165"/>
      <c r="F6165"/>
      <c r="G6165" s="20"/>
      <c r="H6165"/>
      <c r="I6165"/>
    </row>
    <row r="6166" spans="2:9" ht="15" x14ac:dyDescent="0.25">
      <c r="B6166"/>
      <c r="C6166"/>
      <c r="D6166"/>
      <c r="E6166"/>
      <c r="F6166"/>
      <c r="G6166" s="20"/>
      <c r="H6166"/>
      <c r="I6166"/>
    </row>
    <row r="6167" spans="2:9" ht="15" x14ac:dyDescent="0.25">
      <c r="B6167"/>
      <c r="C6167"/>
      <c r="D6167"/>
      <c r="E6167"/>
      <c r="F6167"/>
      <c r="G6167" s="20"/>
      <c r="H6167"/>
      <c r="I6167"/>
    </row>
    <row r="6168" spans="2:9" ht="15" x14ac:dyDescent="0.25">
      <c r="B6168"/>
      <c r="C6168"/>
      <c r="D6168"/>
      <c r="E6168"/>
      <c r="F6168"/>
      <c r="G6168" s="20"/>
      <c r="H6168"/>
      <c r="I6168"/>
    </row>
    <row r="6169" spans="2:9" ht="15" x14ac:dyDescent="0.25">
      <c r="B6169"/>
      <c r="C6169"/>
      <c r="D6169"/>
      <c r="E6169"/>
      <c r="F6169"/>
      <c r="G6169" s="20"/>
      <c r="H6169"/>
      <c r="I6169"/>
    </row>
    <row r="6170" spans="2:9" ht="15" x14ac:dyDescent="0.25">
      <c r="B6170"/>
      <c r="C6170"/>
      <c r="D6170"/>
      <c r="E6170"/>
      <c r="F6170"/>
      <c r="G6170" s="20"/>
      <c r="H6170"/>
      <c r="I6170"/>
    </row>
    <row r="6171" spans="2:9" ht="15" x14ac:dyDescent="0.25">
      <c r="B6171"/>
      <c r="C6171"/>
      <c r="D6171"/>
      <c r="E6171"/>
      <c r="F6171"/>
      <c r="G6171" s="20"/>
      <c r="H6171"/>
      <c r="I6171"/>
    </row>
    <row r="6172" spans="2:9" ht="15" x14ac:dyDescent="0.25">
      <c r="B6172"/>
      <c r="C6172"/>
      <c r="D6172"/>
      <c r="E6172"/>
      <c r="F6172"/>
      <c r="G6172" s="20"/>
      <c r="H6172"/>
      <c r="I6172"/>
    </row>
    <row r="6173" spans="2:9" ht="15" x14ac:dyDescent="0.25">
      <c r="B6173"/>
      <c r="C6173"/>
      <c r="D6173"/>
      <c r="E6173"/>
      <c r="F6173"/>
      <c r="G6173" s="20"/>
      <c r="H6173"/>
      <c r="I6173"/>
    </row>
    <row r="6174" spans="2:9" ht="15" x14ac:dyDescent="0.25">
      <c r="B6174"/>
      <c r="C6174"/>
      <c r="D6174"/>
      <c r="E6174"/>
      <c r="F6174"/>
      <c r="G6174" s="20"/>
      <c r="H6174"/>
      <c r="I6174"/>
    </row>
    <row r="6175" spans="2:9" ht="15" x14ac:dyDescent="0.25">
      <c r="B6175"/>
      <c r="C6175"/>
      <c r="D6175"/>
      <c r="E6175"/>
      <c r="F6175"/>
      <c r="G6175" s="20"/>
      <c r="H6175"/>
      <c r="I6175"/>
    </row>
    <row r="6176" spans="2:9" ht="15" x14ac:dyDescent="0.25">
      <c r="B6176"/>
      <c r="C6176"/>
      <c r="D6176"/>
      <c r="E6176"/>
      <c r="F6176"/>
      <c r="G6176" s="20"/>
      <c r="H6176"/>
      <c r="I6176"/>
    </row>
    <row r="6177" spans="2:9" ht="15" x14ac:dyDescent="0.25">
      <c r="B6177"/>
      <c r="C6177"/>
      <c r="D6177"/>
      <c r="E6177"/>
      <c r="F6177"/>
      <c r="G6177" s="20"/>
      <c r="H6177"/>
      <c r="I6177"/>
    </row>
    <row r="6178" spans="2:9" ht="15" x14ac:dyDescent="0.25">
      <c r="B6178"/>
      <c r="C6178"/>
      <c r="D6178"/>
      <c r="E6178"/>
      <c r="F6178"/>
      <c r="G6178" s="20"/>
      <c r="H6178"/>
      <c r="I6178"/>
    </row>
    <row r="6179" spans="2:9" ht="15" x14ac:dyDescent="0.25">
      <c r="B6179"/>
      <c r="C6179"/>
      <c r="D6179"/>
      <c r="E6179"/>
      <c r="F6179"/>
      <c r="G6179" s="20"/>
      <c r="H6179"/>
      <c r="I6179"/>
    </row>
    <row r="6180" spans="2:9" ht="15" x14ac:dyDescent="0.25">
      <c r="B6180"/>
      <c r="C6180"/>
      <c r="D6180"/>
      <c r="E6180"/>
      <c r="F6180"/>
      <c r="G6180" s="20"/>
      <c r="H6180"/>
      <c r="I6180"/>
    </row>
    <row r="6181" spans="2:9" ht="15" x14ac:dyDescent="0.25">
      <c r="B6181"/>
      <c r="C6181"/>
      <c r="D6181"/>
      <c r="E6181"/>
      <c r="F6181"/>
      <c r="G6181" s="20"/>
      <c r="H6181"/>
      <c r="I6181"/>
    </row>
    <row r="6182" spans="2:9" ht="15" x14ac:dyDescent="0.25">
      <c r="B6182"/>
      <c r="C6182"/>
      <c r="D6182"/>
      <c r="E6182"/>
      <c r="F6182"/>
      <c r="G6182" s="20"/>
      <c r="H6182"/>
      <c r="I6182"/>
    </row>
    <row r="6183" spans="2:9" ht="15" x14ac:dyDescent="0.25">
      <c r="B6183"/>
      <c r="C6183"/>
      <c r="D6183"/>
      <c r="E6183"/>
      <c r="F6183"/>
      <c r="G6183" s="20"/>
      <c r="H6183"/>
      <c r="I6183"/>
    </row>
    <row r="6184" spans="2:9" ht="15" x14ac:dyDescent="0.25">
      <c r="B6184"/>
      <c r="C6184"/>
      <c r="D6184"/>
      <c r="E6184"/>
      <c r="F6184"/>
      <c r="G6184" s="20"/>
      <c r="H6184"/>
      <c r="I6184"/>
    </row>
    <row r="6185" spans="2:9" ht="15" x14ac:dyDescent="0.25">
      <c r="B6185"/>
      <c r="C6185"/>
      <c r="D6185"/>
      <c r="E6185"/>
      <c r="F6185"/>
      <c r="G6185" s="20"/>
      <c r="H6185"/>
      <c r="I6185"/>
    </row>
    <row r="6186" spans="2:9" ht="15" x14ac:dyDescent="0.25">
      <c r="B6186"/>
      <c r="C6186"/>
      <c r="D6186"/>
      <c r="E6186"/>
      <c r="F6186"/>
      <c r="G6186" s="20"/>
      <c r="H6186"/>
      <c r="I6186"/>
    </row>
    <row r="6187" spans="2:9" ht="15" x14ac:dyDescent="0.25">
      <c r="B6187"/>
      <c r="C6187"/>
      <c r="D6187"/>
      <c r="E6187"/>
      <c r="F6187"/>
      <c r="G6187" s="20"/>
      <c r="H6187"/>
      <c r="I6187"/>
    </row>
    <row r="6188" spans="2:9" ht="15" x14ac:dyDescent="0.25">
      <c r="B6188"/>
      <c r="C6188"/>
      <c r="D6188"/>
      <c r="E6188"/>
      <c r="F6188"/>
      <c r="G6188" s="20"/>
      <c r="H6188"/>
      <c r="I6188"/>
    </row>
    <row r="6189" spans="2:9" ht="15" x14ac:dyDescent="0.25">
      <c r="B6189"/>
      <c r="C6189"/>
      <c r="D6189"/>
      <c r="E6189"/>
      <c r="F6189"/>
      <c r="G6189" s="20"/>
      <c r="H6189"/>
      <c r="I6189"/>
    </row>
    <row r="6190" spans="2:9" ht="15" x14ac:dyDescent="0.25">
      <c r="B6190"/>
      <c r="C6190"/>
      <c r="D6190"/>
      <c r="E6190"/>
      <c r="F6190"/>
      <c r="G6190" s="20"/>
      <c r="H6190"/>
      <c r="I6190"/>
    </row>
    <row r="6191" spans="2:9" ht="15" x14ac:dyDescent="0.25">
      <c r="B6191"/>
      <c r="C6191"/>
      <c r="D6191"/>
      <c r="E6191"/>
      <c r="F6191"/>
      <c r="G6191" s="20"/>
      <c r="H6191"/>
      <c r="I6191"/>
    </row>
    <row r="6192" spans="2:9" ht="15" x14ac:dyDescent="0.25">
      <c r="B6192"/>
      <c r="C6192"/>
      <c r="D6192"/>
      <c r="E6192"/>
      <c r="F6192"/>
      <c r="G6192" s="20"/>
      <c r="H6192"/>
      <c r="I6192"/>
    </row>
    <row r="6193" spans="2:9" ht="15" x14ac:dyDescent="0.25">
      <c r="B6193"/>
      <c r="C6193"/>
      <c r="D6193"/>
      <c r="E6193"/>
      <c r="F6193"/>
      <c r="G6193" s="20"/>
      <c r="H6193"/>
      <c r="I6193"/>
    </row>
    <row r="6194" spans="2:9" ht="15" x14ac:dyDescent="0.25">
      <c r="B6194"/>
      <c r="C6194"/>
      <c r="D6194"/>
      <c r="E6194"/>
      <c r="F6194"/>
      <c r="G6194" s="20"/>
      <c r="H6194"/>
      <c r="I6194"/>
    </row>
    <row r="6195" spans="2:9" ht="15" x14ac:dyDescent="0.25">
      <c r="B6195"/>
      <c r="C6195"/>
      <c r="D6195"/>
      <c r="E6195"/>
      <c r="F6195"/>
      <c r="G6195" s="20"/>
      <c r="H6195"/>
      <c r="I6195"/>
    </row>
    <row r="6196" spans="2:9" ht="15" x14ac:dyDescent="0.25">
      <c r="B6196"/>
      <c r="C6196"/>
      <c r="D6196"/>
      <c r="E6196"/>
      <c r="F6196"/>
      <c r="G6196" s="20"/>
      <c r="H6196"/>
      <c r="I6196"/>
    </row>
    <row r="6197" spans="2:9" ht="15" x14ac:dyDescent="0.25">
      <c r="B6197"/>
      <c r="C6197"/>
      <c r="D6197"/>
      <c r="E6197"/>
      <c r="F6197"/>
      <c r="G6197" s="20"/>
      <c r="H6197"/>
      <c r="I6197"/>
    </row>
    <row r="6198" spans="2:9" ht="15" x14ac:dyDescent="0.25">
      <c r="B6198"/>
      <c r="C6198"/>
      <c r="D6198"/>
      <c r="E6198"/>
      <c r="F6198"/>
      <c r="G6198" s="20"/>
      <c r="H6198"/>
      <c r="I6198"/>
    </row>
    <row r="6199" spans="2:9" ht="15" x14ac:dyDescent="0.25">
      <c r="B6199"/>
      <c r="C6199"/>
      <c r="D6199"/>
      <c r="E6199"/>
      <c r="F6199"/>
      <c r="G6199" s="20"/>
      <c r="H6199"/>
      <c r="I6199"/>
    </row>
    <row r="6200" spans="2:9" ht="15" x14ac:dyDescent="0.25">
      <c r="B6200"/>
      <c r="C6200"/>
      <c r="D6200"/>
      <c r="E6200"/>
      <c r="F6200"/>
      <c r="G6200" s="20"/>
      <c r="H6200"/>
      <c r="I6200"/>
    </row>
    <row r="6201" spans="2:9" ht="15" x14ac:dyDescent="0.25">
      <c r="B6201"/>
      <c r="C6201"/>
      <c r="D6201"/>
      <c r="E6201"/>
      <c r="F6201"/>
      <c r="G6201" s="20"/>
      <c r="H6201"/>
      <c r="I6201"/>
    </row>
    <row r="6202" spans="2:9" ht="15" x14ac:dyDescent="0.25">
      <c r="B6202"/>
      <c r="C6202"/>
      <c r="D6202"/>
      <c r="E6202"/>
      <c r="F6202"/>
      <c r="G6202" s="20"/>
      <c r="H6202"/>
      <c r="I6202"/>
    </row>
    <row r="6203" spans="2:9" ht="15" x14ac:dyDescent="0.25">
      <c r="B6203"/>
      <c r="C6203"/>
      <c r="D6203"/>
      <c r="E6203"/>
      <c r="F6203"/>
      <c r="G6203" s="20"/>
      <c r="H6203"/>
      <c r="I6203"/>
    </row>
    <row r="6204" spans="2:9" ht="15" x14ac:dyDescent="0.25">
      <c r="B6204"/>
      <c r="C6204"/>
      <c r="D6204"/>
      <c r="E6204"/>
      <c r="F6204"/>
      <c r="G6204" s="20"/>
      <c r="H6204"/>
      <c r="I6204"/>
    </row>
    <row r="6205" spans="2:9" ht="15" x14ac:dyDescent="0.25">
      <c r="B6205"/>
      <c r="C6205"/>
      <c r="D6205"/>
      <c r="E6205"/>
      <c r="F6205"/>
      <c r="G6205" s="20"/>
      <c r="H6205"/>
      <c r="I6205"/>
    </row>
    <row r="6206" spans="2:9" ht="15" x14ac:dyDescent="0.25">
      <c r="B6206"/>
      <c r="C6206"/>
      <c r="D6206"/>
      <c r="E6206"/>
      <c r="F6206"/>
      <c r="G6206" s="20"/>
      <c r="H6206"/>
      <c r="I6206"/>
    </row>
    <row r="6207" spans="2:9" ht="15" x14ac:dyDescent="0.25">
      <c r="B6207"/>
      <c r="C6207"/>
      <c r="D6207"/>
      <c r="E6207"/>
      <c r="F6207"/>
      <c r="G6207" s="20"/>
      <c r="H6207"/>
      <c r="I6207"/>
    </row>
    <row r="6208" spans="2:9" ht="15" x14ac:dyDescent="0.25">
      <c r="B6208"/>
      <c r="C6208"/>
      <c r="D6208"/>
      <c r="E6208"/>
      <c r="F6208"/>
      <c r="G6208" s="20"/>
      <c r="H6208"/>
      <c r="I6208"/>
    </row>
    <row r="6209" spans="2:9" ht="15" x14ac:dyDescent="0.25">
      <c r="B6209"/>
      <c r="C6209"/>
      <c r="D6209"/>
      <c r="E6209"/>
      <c r="F6209"/>
      <c r="G6209" s="20"/>
      <c r="H6209"/>
      <c r="I6209"/>
    </row>
    <row r="6210" spans="2:9" ht="15" x14ac:dyDescent="0.25">
      <c r="B6210"/>
      <c r="C6210"/>
      <c r="D6210"/>
      <c r="E6210"/>
      <c r="F6210"/>
      <c r="G6210" s="20"/>
      <c r="H6210"/>
      <c r="I6210"/>
    </row>
    <row r="6211" spans="2:9" ht="15" x14ac:dyDescent="0.25">
      <c r="B6211"/>
      <c r="C6211"/>
      <c r="D6211"/>
      <c r="E6211"/>
      <c r="F6211"/>
      <c r="G6211" s="20"/>
      <c r="H6211"/>
      <c r="I6211"/>
    </row>
    <row r="6212" spans="2:9" ht="15" x14ac:dyDescent="0.25">
      <c r="B6212"/>
      <c r="C6212"/>
      <c r="D6212"/>
      <c r="E6212"/>
      <c r="F6212"/>
      <c r="G6212" s="20"/>
      <c r="H6212"/>
      <c r="I6212"/>
    </row>
    <row r="6213" spans="2:9" ht="15" x14ac:dyDescent="0.25">
      <c r="B6213"/>
      <c r="C6213"/>
      <c r="D6213"/>
      <c r="E6213"/>
      <c r="F6213"/>
      <c r="G6213" s="20"/>
      <c r="H6213"/>
      <c r="I6213"/>
    </row>
    <row r="6214" spans="2:9" ht="15" x14ac:dyDescent="0.25">
      <c r="B6214"/>
      <c r="C6214"/>
      <c r="D6214"/>
      <c r="E6214"/>
      <c r="F6214"/>
      <c r="G6214" s="20"/>
      <c r="H6214"/>
      <c r="I6214"/>
    </row>
    <row r="6215" spans="2:9" ht="15" x14ac:dyDescent="0.25">
      <c r="B6215"/>
      <c r="C6215"/>
      <c r="D6215"/>
      <c r="E6215"/>
      <c r="F6215"/>
      <c r="G6215" s="20"/>
      <c r="H6215"/>
      <c r="I6215"/>
    </row>
    <row r="6216" spans="2:9" ht="15" x14ac:dyDescent="0.25">
      <c r="B6216"/>
      <c r="C6216"/>
      <c r="D6216"/>
      <c r="E6216"/>
      <c r="F6216"/>
      <c r="G6216" s="20"/>
      <c r="H6216"/>
      <c r="I6216"/>
    </row>
    <row r="6217" spans="2:9" ht="15" x14ac:dyDescent="0.25">
      <c r="B6217"/>
      <c r="C6217"/>
      <c r="D6217"/>
      <c r="E6217"/>
      <c r="F6217"/>
      <c r="G6217" s="20"/>
      <c r="H6217"/>
      <c r="I6217"/>
    </row>
    <row r="6218" spans="2:9" ht="15" x14ac:dyDescent="0.25">
      <c r="B6218"/>
      <c r="C6218"/>
      <c r="D6218"/>
      <c r="E6218"/>
      <c r="F6218"/>
      <c r="G6218" s="20"/>
      <c r="H6218"/>
      <c r="I6218"/>
    </row>
    <row r="6219" spans="2:9" ht="15" x14ac:dyDescent="0.25">
      <c r="B6219"/>
      <c r="C6219"/>
      <c r="D6219"/>
      <c r="E6219"/>
      <c r="F6219"/>
      <c r="G6219" s="20"/>
      <c r="H6219"/>
      <c r="I6219"/>
    </row>
    <row r="6220" spans="2:9" ht="15" x14ac:dyDescent="0.25">
      <c r="B6220"/>
      <c r="C6220"/>
      <c r="D6220"/>
      <c r="E6220"/>
      <c r="F6220"/>
      <c r="G6220" s="20"/>
      <c r="H6220"/>
      <c r="I6220"/>
    </row>
    <row r="6221" spans="2:9" ht="15" x14ac:dyDescent="0.25">
      <c r="B6221"/>
      <c r="C6221"/>
      <c r="D6221"/>
      <c r="E6221"/>
      <c r="F6221"/>
      <c r="G6221" s="20"/>
      <c r="H6221"/>
      <c r="I6221"/>
    </row>
    <row r="6222" spans="2:9" ht="15" x14ac:dyDescent="0.25">
      <c r="B6222"/>
      <c r="C6222"/>
      <c r="D6222"/>
      <c r="E6222"/>
      <c r="F6222"/>
      <c r="G6222" s="20"/>
      <c r="H6222"/>
      <c r="I6222"/>
    </row>
    <row r="6223" spans="2:9" ht="15" x14ac:dyDescent="0.25">
      <c r="B6223"/>
      <c r="C6223"/>
      <c r="D6223"/>
      <c r="E6223"/>
      <c r="F6223"/>
      <c r="G6223" s="20"/>
      <c r="H6223"/>
      <c r="I6223"/>
    </row>
    <row r="6224" spans="2:9" ht="15" x14ac:dyDescent="0.25">
      <c r="B6224"/>
      <c r="C6224"/>
      <c r="D6224"/>
      <c r="E6224"/>
      <c r="F6224"/>
      <c r="G6224" s="20"/>
      <c r="H6224"/>
      <c r="I6224"/>
    </row>
    <row r="6225" spans="2:9" ht="15" x14ac:dyDescent="0.25">
      <c r="B6225"/>
      <c r="C6225"/>
      <c r="D6225"/>
      <c r="E6225"/>
      <c r="F6225"/>
      <c r="G6225" s="20"/>
      <c r="H6225"/>
      <c r="I6225"/>
    </row>
    <row r="6226" spans="2:9" ht="15" x14ac:dyDescent="0.25">
      <c r="B6226"/>
      <c r="C6226"/>
      <c r="D6226"/>
      <c r="E6226"/>
      <c r="F6226"/>
      <c r="G6226" s="20"/>
      <c r="H6226"/>
      <c r="I6226"/>
    </row>
    <row r="6227" spans="2:9" ht="15" x14ac:dyDescent="0.25">
      <c r="B6227"/>
      <c r="C6227"/>
      <c r="D6227"/>
      <c r="E6227"/>
      <c r="F6227"/>
      <c r="G6227" s="20"/>
      <c r="H6227"/>
      <c r="I6227"/>
    </row>
    <row r="6228" spans="2:9" ht="15" x14ac:dyDescent="0.25">
      <c r="B6228"/>
      <c r="C6228"/>
      <c r="D6228"/>
      <c r="E6228"/>
      <c r="F6228"/>
      <c r="G6228" s="20"/>
      <c r="H6228"/>
      <c r="I6228"/>
    </row>
    <row r="6229" spans="2:9" ht="15" x14ac:dyDescent="0.25">
      <c r="B6229"/>
      <c r="C6229"/>
      <c r="D6229"/>
      <c r="E6229"/>
      <c r="F6229"/>
      <c r="G6229" s="20"/>
      <c r="H6229"/>
      <c r="I6229"/>
    </row>
    <row r="6230" spans="2:9" ht="15" x14ac:dyDescent="0.25">
      <c r="B6230"/>
      <c r="C6230"/>
      <c r="D6230"/>
      <c r="E6230"/>
      <c r="F6230"/>
      <c r="G6230" s="20"/>
      <c r="H6230"/>
      <c r="I6230"/>
    </row>
    <row r="6231" spans="2:9" ht="15" x14ac:dyDescent="0.25">
      <c r="B6231"/>
      <c r="C6231"/>
      <c r="D6231"/>
      <c r="E6231"/>
      <c r="F6231"/>
      <c r="G6231" s="20"/>
      <c r="H6231"/>
      <c r="I6231"/>
    </row>
    <row r="6232" spans="2:9" ht="15" x14ac:dyDescent="0.25">
      <c r="B6232"/>
      <c r="C6232"/>
      <c r="D6232"/>
      <c r="E6232"/>
      <c r="F6232"/>
      <c r="G6232" s="20"/>
      <c r="H6232"/>
      <c r="I6232"/>
    </row>
    <row r="6233" spans="2:9" ht="15" x14ac:dyDescent="0.25">
      <c r="B6233"/>
      <c r="C6233"/>
      <c r="D6233"/>
      <c r="E6233"/>
      <c r="F6233"/>
      <c r="G6233" s="20"/>
      <c r="H6233"/>
      <c r="I6233"/>
    </row>
    <row r="6234" spans="2:9" ht="15" x14ac:dyDescent="0.25">
      <c r="B6234"/>
      <c r="C6234"/>
      <c r="D6234"/>
      <c r="E6234"/>
      <c r="F6234"/>
      <c r="G6234" s="20"/>
      <c r="H6234"/>
      <c r="I6234"/>
    </row>
    <row r="6235" spans="2:9" ht="15" x14ac:dyDescent="0.25">
      <c r="B6235"/>
      <c r="C6235"/>
      <c r="D6235"/>
      <c r="E6235"/>
      <c r="F6235"/>
      <c r="G6235" s="20"/>
      <c r="H6235"/>
      <c r="I6235"/>
    </row>
    <row r="6236" spans="2:9" ht="15" x14ac:dyDescent="0.25">
      <c r="B6236"/>
      <c r="C6236"/>
      <c r="D6236"/>
      <c r="E6236"/>
      <c r="F6236"/>
      <c r="G6236" s="20"/>
      <c r="H6236"/>
      <c r="I6236"/>
    </row>
    <row r="6237" spans="2:9" ht="15" x14ac:dyDescent="0.25">
      <c r="B6237"/>
      <c r="C6237"/>
      <c r="D6237"/>
      <c r="E6237"/>
      <c r="F6237"/>
      <c r="G6237" s="20"/>
      <c r="H6237"/>
      <c r="I6237"/>
    </row>
    <row r="6238" spans="2:9" ht="15" x14ac:dyDescent="0.25">
      <c r="B6238"/>
      <c r="C6238"/>
      <c r="D6238"/>
      <c r="E6238"/>
      <c r="F6238"/>
      <c r="G6238" s="20"/>
      <c r="H6238"/>
      <c r="I6238"/>
    </row>
    <row r="6239" spans="2:9" ht="15" x14ac:dyDescent="0.25">
      <c r="B6239"/>
      <c r="C6239"/>
      <c r="D6239"/>
      <c r="E6239"/>
      <c r="F6239"/>
      <c r="G6239" s="20"/>
      <c r="H6239"/>
      <c r="I6239"/>
    </row>
    <row r="6240" spans="2:9" ht="15" x14ac:dyDescent="0.25">
      <c r="B6240"/>
      <c r="C6240"/>
      <c r="D6240"/>
      <c r="E6240"/>
      <c r="F6240"/>
      <c r="G6240" s="20"/>
      <c r="H6240"/>
      <c r="I6240"/>
    </row>
    <row r="6241" spans="2:9" ht="15" x14ac:dyDescent="0.25">
      <c r="B6241"/>
      <c r="C6241"/>
      <c r="D6241"/>
      <c r="E6241"/>
      <c r="F6241"/>
      <c r="G6241" s="20"/>
      <c r="H6241"/>
      <c r="I6241"/>
    </row>
    <row r="6242" spans="2:9" ht="15" x14ac:dyDescent="0.25">
      <c r="B6242"/>
      <c r="C6242"/>
      <c r="D6242"/>
      <c r="E6242"/>
      <c r="F6242"/>
      <c r="G6242" s="20"/>
      <c r="H6242"/>
      <c r="I6242"/>
    </row>
    <row r="6243" spans="2:9" ht="15" x14ac:dyDescent="0.25">
      <c r="B6243"/>
      <c r="C6243"/>
      <c r="D6243"/>
      <c r="E6243"/>
      <c r="F6243"/>
      <c r="G6243" s="20"/>
      <c r="H6243"/>
      <c r="I6243"/>
    </row>
    <row r="6244" spans="2:9" ht="15" x14ac:dyDescent="0.25">
      <c r="B6244"/>
      <c r="C6244"/>
      <c r="D6244"/>
      <c r="E6244"/>
      <c r="F6244"/>
      <c r="G6244" s="20"/>
      <c r="H6244"/>
      <c r="I6244"/>
    </row>
    <row r="6245" spans="2:9" ht="15" x14ac:dyDescent="0.25">
      <c r="B6245"/>
      <c r="C6245"/>
      <c r="D6245"/>
      <c r="E6245"/>
      <c r="F6245"/>
      <c r="G6245" s="20"/>
      <c r="H6245"/>
      <c r="I6245"/>
    </row>
    <row r="6246" spans="2:9" ht="15" x14ac:dyDescent="0.25">
      <c r="B6246"/>
      <c r="C6246"/>
      <c r="D6246"/>
      <c r="E6246"/>
      <c r="F6246"/>
      <c r="G6246" s="20"/>
      <c r="H6246"/>
      <c r="I6246"/>
    </row>
    <row r="6247" spans="2:9" ht="15" x14ac:dyDescent="0.25">
      <c r="B6247"/>
      <c r="C6247"/>
      <c r="D6247"/>
      <c r="E6247"/>
      <c r="F6247"/>
      <c r="G6247" s="20"/>
      <c r="H6247"/>
      <c r="I6247"/>
    </row>
    <row r="6248" spans="2:9" ht="15" x14ac:dyDescent="0.25">
      <c r="B6248"/>
      <c r="C6248"/>
      <c r="D6248"/>
      <c r="E6248"/>
      <c r="F6248"/>
      <c r="G6248" s="20"/>
      <c r="H6248"/>
      <c r="I6248"/>
    </row>
    <row r="6249" spans="2:9" ht="15" x14ac:dyDescent="0.25">
      <c r="B6249"/>
      <c r="C6249"/>
      <c r="D6249"/>
      <c r="E6249"/>
      <c r="F6249"/>
      <c r="G6249" s="20"/>
      <c r="H6249"/>
      <c r="I6249"/>
    </row>
    <row r="6250" spans="2:9" ht="15" x14ac:dyDescent="0.25">
      <c r="B6250"/>
      <c r="C6250"/>
      <c r="D6250"/>
      <c r="E6250"/>
      <c r="F6250"/>
      <c r="G6250" s="20"/>
      <c r="H6250"/>
      <c r="I6250"/>
    </row>
    <row r="6251" spans="2:9" ht="15" x14ac:dyDescent="0.25">
      <c r="B6251"/>
      <c r="C6251"/>
      <c r="D6251"/>
      <c r="E6251"/>
      <c r="F6251"/>
      <c r="G6251" s="20"/>
      <c r="H6251"/>
      <c r="I6251"/>
    </row>
    <row r="6252" spans="2:9" ht="15" x14ac:dyDescent="0.25">
      <c r="B6252"/>
      <c r="C6252"/>
      <c r="D6252"/>
      <c r="E6252"/>
      <c r="F6252"/>
      <c r="G6252" s="20"/>
      <c r="H6252"/>
      <c r="I6252"/>
    </row>
    <row r="6253" spans="2:9" ht="15" x14ac:dyDescent="0.25">
      <c r="B6253"/>
      <c r="C6253"/>
      <c r="D6253"/>
      <c r="E6253"/>
      <c r="F6253"/>
      <c r="G6253" s="20"/>
      <c r="H6253"/>
      <c r="I6253"/>
    </row>
    <row r="6254" spans="2:9" ht="15" x14ac:dyDescent="0.25">
      <c r="B6254"/>
      <c r="C6254"/>
      <c r="D6254"/>
      <c r="E6254"/>
      <c r="F6254"/>
      <c r="G6254" s="20"/>
      <c r="H6254"/>
      <c r="I6254"/>
    </row>
    <row r="6255" spans="2:9" ht="15" x14ac:dyDescent="0.25">
      <c r="B6255"/>
      <c r="C6255"/>
      <c r="D6255"/>
      <c r="E6255"/>
      <c r="F6255"/>
      <c r="G6255" s="20"/>
      <c r="H6255"/>
      <c r="I6255"/>
    </row>
    <row r="6256" spans="2:9" ht="15" x14ac:dyDescent="0.25">
      <c r="B6256"/>
      <c r="C6256"/>
      <c r="D6256"/>
      <c r="E6256"/>
      <c r="F6256"/>
      <c r="G6256" s="20"/>
      <c r="H6256"/>
      <c r="I6256"/>
    </row>
    <row r="6257" spans="2:9" ht="15" x14ac:dyDescent="0.25">
      <c r="B6257"/>
      <c r="C6257"/>
      <c r="D6257"/>
      <c r="E6257"/>
      <c r="F6257"/>
      <c r="G6257" s="20"/>
      <c r="H6257"/>
      <c r="I6257"/>
    </row>
    <row r="6258" spans="2:9" ht="15" x14ac:dyDescent="0.25">
      <c r="B6258"/>
      <c r="C6258"/>
      <c r="D6258"/>
      <c r="E6258"/>
      <c r="F6258"/>
      <c r="G6258" s="20"/>
      <c r="H6258"/>
      <c r="I6258"/>
    </row>
    <row r="6259" spans="2:9" ht="15" x14ac:dyDescent="0.25">
      <c r="B6259"/>
      <c r="C6259"/>
      <c r="D6259"/>
      <c r="E6259"/>
      <c r="F6259"/>
      <c r="G6259" s="20"/>
      <c r="H6259"/>
      <c r="I6259"/>
    </row>
    <row r="6260" spans="2:9" ht="15" x14ac:dyDescent="0.25">
      <c r="B6260"/>
      <c r="C6260"/>
      <c r="D6260"/>
      <c r="E6260"/>
      <c r="F6260"/>
      <c r="G6260" s="20"/>
      <c r="H6260"/>
      <c r="I6260"/>
    </row>
    <row r="6261" spans="2:9" ht="15" x14ac:dyDescent="0.25">
      <c r="B6261"/>
      <c r="C6261"/>
      <c r="D6261"/>
      <c r="E6261"/>
      <c r="F6261"/>
      <c r="G6261" s="20"/>
      <c r="H6261"/>
      <c r="I6261"/>
    </row>
    <row r="6262" spans="2:9" ht="15" x14ac:dyDescent="0.25">
      <c r="B6262"/>
      <c r="C6262"/>
      <c r="D6262"/>
      <c r="E6262"/>
      <c r="F6262"/>
      <c r="G6262" s="20"/>
      <c r="H6262"/>
      <c r="I6262"/>
    </row>
    <row r="6263" spans="2:9" ht="15" x14ac:dyDescent="0.25">
      <c r="B6263"/>
      <c r="C6263"/>
      <c r="D6263"/>
      <c r="E6263"/>
      <c r="F6263"/>
      <c r="G6263" s="20"/>
      <c r="H6263"/>
      <c r="I6263"/>
    </row>
    <row r="6264" spans="2:9" ht="15" x14ac:dyDescent="0.25">
      <c r="B6264"/>
      <c r="C6264"/>
      <c r="D6264"/>
      <c r="E6264"/>
      <c r="F6264"/>
      <c r="G6264" s="20"/>
      <c r="H6264"/>
      <c r="I6264"/>
    </row>
    <row r="6265" spans="2:9" ht="15" x14ac:dyDescent="0.25">
      <c r="B6265"/>
      <c r="C6265"/>
      <c r="D6265"/>
      <c r="E6265"/>
      <c r="F6265"/>
      <c r="G6265" s="20"/>
      <c r="H6265"/>
      <c r="I6265"/>
    </row>
    <row r="6266" spans="2:9" ht="15" x14ac:dyDescent="0.25">
      <c r="B6266"/>
      <c r="C6266"/>
      <c r="D6266"/>
      <c r="E6266"/>
      <c r="F6266"/>
      <c r="G6266" s="20"/>
      <c r="H6266"/>
      <c r="I6266"/>
    </row>
    <row r="6267" spans="2:9" ht="15" x14ac:dyDescent="0.25">
      <c r="B6267"/>
      <c r="C6267"/>
      <c r="D6267"/>
      <c r="E6267"/>
      <c r="F6267"/>
      <c r="G6267" s="20"/>
      <c r="H6267"/>
      <c r="I6267"/>
    </row>
    <row r="6268" spans="2:9" ht="15" x14ac:dyDescent="0.25">
      <c r="B6268"/>
      <c r="C6268"/>
      <c r="D6268"/>
      <c r="E6268"/>
      <c r="F6268"/>
      <c r="G6268" s="20"/>
      <c r="H6268"/>
      <c r="I6268"/>
    </row>
    <row r="6269" spans="2:9" ht="15" x14ac:dyDescent="0.25">
      <c r="B6269"/>
      <c r="C6269"/>
      <c r="D6269"/>
      <c r="E6269"/>
      <c r="F6269"/>
      <c r="G6269" s="20"/>
      <c r="H6269"/>
      <c r="I6269"/>
    </row>
    <row r="6270" spans="2:9" ht="15" x14ac:dyDescent="0.25">
      <c r="B6270"/>
      <c r="C6270"/>
      <c r="D6270"/>
      <c r="E6270"/>
      <c r="F6270"/>
      <c r="G6270" s="20"/>
      <c r="H6270"/>
      <c r="I6270"/>
    </row>
    <row r="6271" spans="2:9" ht="15" x14ac:dyDescent="0.25">
      <c r="B6271"/>
      <c r="C6271"/>
      <c r="D6271"/>
      <c r="E6271"/>
      <c r="F6271"/>
      <c r="G6271" s="20"/>
      <c r="H6271"/>
      <c r="I6271"/>
    </row>
    <row r="6272" spans="2:9" ht="15" x14ac:dyDescent="0.25">
      <c r="B6272"/>
      <c r="C6272"/>
      <c r="D6272"/>
      <c r="E6272"/>
      <c r="F6272"/>
      <c r="G6272" s="20"/>
      <c r="H6272"/>
      <c r="I6272"/>
    </row>
    <row r="6273" spans="2:9" ht="15" x14ac:dyDescent="0.25">
      <c r="B6273"/>
      <c r="C6273"/>
      <c r="D6273"/>
      <c r="E6273"/>
      <c r="F6273"/>
      <c r="G6273" s="20"/>
      <c r="H6273"/>
      <c r="I6273"/>
    </row>
    <row r="6274" spans="2:9" ht="15" x14ac:dyDescent="0.25">
      <c r="B6274"/>
      <c r="C6274"/>
      <c r="D6274"/>
      <c r="E6274"/>
      <c r="F6274"/>
      <c r="G6274" s="20"/>
      <c r="H6274"/>
      <c r="I6274"/>
    </row>
    <row r="6275" spans="2:9" ht="15" x14ac:dyDescent="0.25">
      <c r="B6275"/>
      <c r="C6275"/>
      <c r="D6275"/>
      <c r="E6275"/>
      <c r="F6275"/>
      <c r="G6275" s="20"/>
      <c r="H6275"/>
      <c r="I6275"/>
    </row>
    <row r="6276" spans="2:9" ht="15" x14ac:dyDescent="0.25">
      <c r="B6276"/>
      <c r="C6276"/>
      <c r="D6276"/>
      <c r="E6276"/>
      <c r="F6276"/>
      <c r="G6276" s="20"/>
      <c r="H6276"/>
      <c r="I6276"/>
    </row>
    <row r="6277" spans="2:9" ht="15" x14ac:dyDescent="0.25">
      <c r="B6277"/>
      <c r="C6277"/>
      <c r="D6277"/>
      <c r="E6277"/>
      <c r="F6277"/>
      <c r="G6277" s="20"/>
      <c r="H6277"/>
      <c r="I6277"/>
    </row>
    <row r="6278" spans="2:9" ht="15" x14ac:dyDescent="0.25">
      <c r="B6278"/>
      <c r="C6278"/>
      <c r="D6278"/>
      <c r="E6278"/>
      <c r="F6278"/>
      <c r="G6278" s="20"/>
      <c r="H6278"/>
      <c r="I6278"/>
    </row>
    <row r="6279" spans="2:9" ht="15" x14ac:dyDescent="0.25">
      <c r="B6279"/>
      <c r="C6279"/>
      <c r="D6279"/>
      <c r="E6279"/>
      <c r="F6279"/>
      <c r="G6279" s="20"/>
      <c r="H6279"/>
      <c r="I6279"/>
    </row>
    <row r="6280" spans="2:9" ht="15" x14ac:dyDescent="0.25">
      <c r="B6280"/>
      <c r="C6280"/>
      <c r="D6280"/>
      <c r="E6280"/>
      <c r="F6280"/>
      <c r="G6280" s="20"/>
      <c r="H6280"/>
      <c r="I6280"/>
    </row>
    <row r="6281" spans="2:9" ht="15" x14ac:dyDescent="0.25">
      <c r="B6281"/>
      <c r="C6281"/>
      <c r="D6281"/>
      <c r="E6281"/>
      <c r="F6281"/>
      <c r="G6281" s="20"/>
      <c r="H6281"/>
      <c r="I6281"/>
    </row>
    <row r="6282" spans="2:9" ht="15" x14ac:dyDescent="0.25">
      <c r="B6282"/>
      <c r="C6282"/>
      <c r="D6282"/>
      <c r="E6282"/>
      <c r="F6282"/>
      <c r="G6282" s="20"/>
      <c r="H6282"/>
      <c r="I6282"/>
    </row>
    <row r="6283" spans="2:9" ht="15" x14ac:dyDescent="0.25">
      <c r="B6283"/>
      <c r="C6283"/>
      <c r="D6283"/>
      <c r="E6283"/>
      <c r="F6283"/>
      <c r="G6283" s="20"/>
      <c r="H6283"/>
      <c r="I6283"/>
    </row>
    <row r="6284" spans="2:9" ht="15" x14ac:dyDescent="0.25">
      <c r="B6284"/>
      <c r="C6284"/>
      <c r="D6284"/>
      <c r="E6284"/>
      <c r="F6284"/>
      <c r="G6284" s="20"/>
      <c r="H6284"/>
      <c r="I6284"/>
    </row>
    <row r="6285" spans="2:9" ht="15" x14ac:dyDescent="0.25">
      <c r="B6285"/>
      <c r="C6285"/>
      <c r="D6285"/>
      <c r="E6285"/>
      <c r="F6285"/>
      <c r="G6285" s="20"/>
      <c r="H6285"/>
      <c r="I6285"/>
    </row>
    <row r="6286" spans="2:9" ht="15" x14ac:dyDescent="0.25">
      <c r="B6286"/>
      <c r="C6286"/>
      <c r="D6286"/>
      <c r="E6286"/>
      <c r="F6286"/>
      <c r="G6286" s="20"/>
      <c r="H6286"/>
      <c r="I6286"/>
    </row>
    <row r="6287" spans="2:9" ht="15" x14ac:dyDescent="0.25">
      <c r="B6287"/>
      <c r="C6287"/>
      <c r="D6287"/>
      <c r="E6287"/>
      <c r="F6287"/>
      <c r="G6287" s="20"/>
      <c r="H6287"/>
      <c r="I6287"/>
    </row>
    <row r="6288" spans="2:9" ht="15" x14ac:dyDescent="0.25">
      <c r="B6288"/>
      <c r="C6288"/>
      <c r="D6288"/>
      <c r="E6288"/>
      <c r="F6288"/>
      <c r="G6288" s="20"/>
      <c r="H6288"/>
      <c r="I6288"/>
    </row>
    <row r="6289" spans="2:9" ht="15" x14ac:dyDescent="0.25">
      <c r="B6289"/>
      <c r="C6289"/>
      <c r="D6289"/>
      <c r="E6289"/>
      <c r="F6289"/>
      <c r="G6289" s="20"/>
      <c r="H6289"/>
      <c r="I6289"/>
    </row>
    <row r="6290" spans="2:9" ht="15" x14ac:dyDescent="0.25">
      <c r="B6290"/>
      <c r="C6290"/>
      <c r="D6290"/>
      <c r="E6290"/>
      <c r="F6290"/>
      <c r="G6290" s="20"/>
      <c r="H6290"/>
      <c r="I6290"/>
    </row>
    <row r="6291" spans="2:9" ht="15" x14ac:dyDescent="0.25">
      <c r="B6291"/>
      <c r="C6291"/>
      <c r="D6291"/>
      <c r="E6291"/>
      <c r="F6291"/>
      <c r="G6291" s="20"/>
      <c r="H6291"/>
      <c r="I6291"/>
    </row>
    <row r="6292" spans="2:9" ht="15" x14ac:dyDescent="0.25">
      <c r="B6292"/>
      <c r="C6292"/>
      <c r="D6292"/>
      <c r="E6292"/>
      <c r="F6292"/>
      <c r="G6292" s="20"/>
      <c r="H6292"/>
      <c r="I6292"/>
    </row>
    <row r="6293" spans="2:9" ht="15" x14ac:dyDescent="0.25">
      <c r="B6293"/>
      <c r="C6293"/>
      <c r="D6293"/>
      <c r="E6293"/>
      <c r="F6293"/>
      <c r="G6293" s="20"/>
      <c r="H6293"/>
      <c r="I6293"/>
    </row>
    <row r="6294" spans="2:9" ht="15" x14ac:dyDescent="0.25">
      <c r="B6294"/>
      <c r="C6294"/>
      <c r="D6294"/>
      <c r="E6294"/>
      <c r="F6294"/>
      <c r="G6294" s="20"/>
      <c r="H6294"/>
      <c r="I6294"/>
    </row>
    <row r="6295" spans="2:9" ht="15" x14ac:dyDescent="0.25">
      <c r="B6295"/>
      <c r="C6295"/>
      <c r="D6295"/>
      <c r="E6295"/>
      <c r="F6295"/>
      <c r="G6295" s="20"/>
      <c r="H6295"/>
      <c r="I6295"/>
    </row>
    <row r="6296" spans="2:9" ht="15" x14ac:dyDescent="0.25">
      <c r="B6296"/>
      <c r="C6296"/>
      <c r="D6296"/>
      <c r="E6296"/>
      <c r="F6296"/>
      <c r="G6296" s="20"/>
      <c r="H6296"/>
      <c r="I6296"/>
    </row>
    <row r="6297" spans="2:9" ht="15" x14ac:dyDescent="0.25">
      <c r="B6297"/>
      <c r="C6297"/>
      <c r="D6297"/>
      <c r="E6297"/>
      <c r="F6297"/>
      <c r="G6297" s="20"/>
      <c r="H6297"/>
      <c r="I6297"/>
    </row>
    <row r="6298" spans="2:9" ht="15" x14ac:dyDescent="0.25">
      <c r="B6298"/>
      <c r="C6298"/>
      <c r="D6298"/>
      <c r="E6298"/>
      <c r="F6298"/>
      <c r="G6298" s="20"/>
      <c r="H6298"/>
      <c r="I6298"/>
    </row>
    <row r="6299" spans="2:9" ht="15" x14ac:dyDescent="0.25">
      <c r="B6299"/>
      <c r="C6299"/>
      <c r="D6299"/>
      <c r="E6299"/>
      <c r="F6299"/>
      <c r="G6299" s="20"/>
      <c r="H6299"/>
      <c r="I6299"/>
    </row>
    <row r="6300" spans="2:9" ht="15" x14ac:dyDescent="0.25">
      <c r="B6300"/>
      <c r="C6300"/>
      <c r="D6300"/>
      <c r="E6300"/>
      <c r="F6300"/>
      <c r="G6300" s="20"/>
      <c r="H6300"/>
      <c r="I6300"/>
    </row>
    <row r="6301" spans="2:9" ht="15" x14ac:dyDescent="0.25">
      <c r="B6301"/>
      <c r="C6301"/>
      <c r="D6301"/>
      <c r="E6301"/>
      <c r="F6301"/>
      <c r="G6301" s="20"/>
      <c r="H6301"/>
      <c r="I6301"/>
    </row>
    <row r="6302" spans="2:9" ht="15" x14ac:dyDescent="0.25">
      <c r="B6302"/>
      <c r="C6302"/>
      <c r="D6302"/>
      <c r="E6302"/>
      <c r="F6302"/>
      <c r="G6302" s="20"/>
      <c r="H6302"/>
      <c r="I6302"/>
    </row>
    <row r="6303" spans="2:9" ht="15" x14ac:dyDescent="0.25">
      <c r="B6303"/>
      <c r="C6303"/>
      <c r="D6303"/>
      <c r="E6303"/>
      <c r="F6303"/>
      <c r="G6303" s="20"/>
      <c r="H6303"/>
      <c r="I6303"/>
    </row>
    <row r="6304" spans="2:9" ht="15" x14ac:dyDescent="0.25">
      <c r="B6304"/>
      <c r="C6304"/>
      <c r="D6304"/>
      <c r="E6304"/>
      <c r="F6304"/>
      <c r="G6304" s="20"/>
      <c r="H6304"/>
      <c r="I6304"/>
    </row>
    <row r="6305" spans="2:9" ht="15" x14ac:dyDescent="0.25">
      <c r="B6305"/>
      <c r="C6305"/>
      <c r="D6305"/>
      <c r="E6305"/>
      <c r="F6305"/>
      <c r="G6305" s="20"/>
      <c r="H6305"/>
      <c r="I6305"/>
    </row>
    <row r="6306" spans="2:9" ht="15" x14ac:dyDescent="0.25">
      <c r="B6306"/>
      <c r="C6306"/>
      <c r="D6306"/>
      <c r="E6306"/>
      <c r="F6306"/>
      <c r="G6306" s="20"/>
      <c r="H6306"/>
      <c r="I6306"/>
    </row>
    <row r="6307" spans="2:9" ht="15" x14ac:dyDescent="0.25">
      <c r="B6307"/>
      <c r="C6307"/>
      <c r="D6307"/>
      <c r="E6307"/>
      <c r="F6307"/>
      <c r="G6307" s="20"/>
      <c r="H6307"/>
      <c r="I6307"/>
    </row>
    <row r="6308" spans="2:9" ht="15" x14ac:dyDescent="0.25">
      <c r="B6308"/>
      <c r="C6308"/>
      <c r="D6308"/>
      <c r="E6308"/>
      <c r="F6308"/>
      <c r="G6308" s="20"/>
      <c r="H6308"/>
      <c r="I6308"/>
    </row>
    <row r="6309" spans="2:9" ht="15" x14ac:dyDescent="0.25">
      <c r="B6309"/>
      <c r="C6309"/>
      <c r="D6309"/>
      <c r="E6309"/>
      <c r="F6309"/>
      <c r="G6309" s="20"/>
      <c r="H6309"/>
      <c r="I6309"/>
    </row>
    <row r="6310" spans="2:9" ht="15" x14ac:dyDescent="0.25">
      <c r="B6310"/>
      <c r="C6310"/>
      <c r="D6310"/>
      <c r="E6310"/>
      <c r="F6310"/>
      <c r="G6310" s="20"/>
      <c r="H6310"/>
      <c r="I6310"/>
    </row>
    <row r="6311" spans="2:9" ht="15" x14ac:dyDescent="0.25">
      <c r="B6311"/>
      <c r="C6311"/>
      <c r="D6311"/>
      <c r="E6311"/>
      <c r="F6311"/>
      <c r="G6311" s="20"/>
      <c r="H6311"/>
      <c r="I6311"/>
    </row>
    <row r="6312" spans="2:9" ht="15" x14ac:dyDescent="0.25">
      <c r="B6312"/>
      <c r="C6312"/>
      <c r="D6312"/>
      <c r="E6312"/>
      <c r="F6312"/>
      <c r="G6312" s="20"/>
      <c r="H6312"/>
      <c r="I6312"/>
    </row>
    <row r="6313" spans="2:9" ht="15" x14ac:dyDescent="0.25">
      <c r="B6313"/>
      <c r="C6313"/>
      <c r="D6313"/>
      <c r="E6313"/>
      <c r="F6313"/>
      <c r="G6313" s="20"/>
      <c r="H6313"/>
      <c r="I6313"/>
    </row>
    <row r="6314" spans="2:9" ht="15" x14ac:dyDescent="0.25">
      <c r="B6314"/>
      <c r="C6314"/>
      <c r="D6314"/>
      <c r="E6314"/>
      <c r="F6314"/>
      <c r="G6314" s="20"/>
      <c r="H6314"/>
      <c r="I6314"/>
    </row>
    <row r="6315" spans="2:9" ht="15" x14ac:dyDescent="0.25">
      <c r="B6315"/>
      <c r="C6315"/>
      <c r="D6315"/>
      <c r="E6315"/>
      <c r="F6315"/>
      <c r="G6315" s="20"/>
      <c r="H6315"/>
      <c r="I6315"/>
    </row>
    <row r="6316" spans="2:9" ht="15" x14ac:dyDescent="0.25">
      <c r="B6316"/>
      <c r="C6316"/>
      <c r="D6316"/>
      <c r="E6316"/>
      <c r="F6316"/>
      <c r="G6316" s="20"/>
      <c r="H6316"/>
      <c r="I6316"/>
    </row>
    <row r="6317" spans="2:9" ht="15" x14ac:dyDescent="0.25">
      <c r="B6317"/>
      <c r="C6317"/>
      <c r="D6317"/>
      <c r="E6317"/>
      <c r="F6317"/>
      <c r="G6317" s="20"/>
      <c r="H6317"/>
      <c r="I6317"/>
    </row>
    <row r="6318" spans="2:9" ht="15" x14ac:dyDescent="0.25">
      <c r="B6318"/>
      <c r="C6318"/>
      <c r="D6318"/>
      <c r="E6318"/>
      <c r="F6318"/>
      <c r="G6318" s="20"/>
      <c r="H6318"/>
      <c r="I6318"/>
    </row>
    <row r="6319" spans="2:9" ht="15" x14ac:dyDescent="0.25">
      <c r="B6319"/>
      <c r="C6319"/>
      <c r="D6319"/>
      <c r="E6319"/>
      <c r="F6319"/>
      <c r="G6319" s="20"/>
      <c r="H6319"/>
      <c r="I6319"/>
    </row>
    <row r="6320" spans="2:9" ht="15" x14ac:dyDescent="0.25">
      <c r="B6320"/>
      <c r="C6320"/>
      <c r="D6320"/>
      <c r="E6320"/>
      <c r="F6320"/>
      <c r="G6320" s="20"/>
      <c r="H6320"/>
      <c r="I6320"/>
    </row>
    <row r="6321" spans="2:9" ht="15" x14ac:dyDescent="0.25">
      <c r="B6321"/>
      <c r="C6321"/>
      <c r="D6321"/>
      <c r="E6321"/>
      <c r="F6321"/>
      <c r="G6321" s="20"/>
      <c r="H6321"/>
      <c r="I6321"/>
    </row>
    <row r="6322" spans="2:9" ht="15" x14ac:dyDescent="0.25">
      <c r="B6322"/>
      <c r="C6322"/>
      <c r="D6322"/>
      <c r="E6322"/>
      <c r="F6322"/>
      <c r="G6322" s="20"/>
      <c r="H6322"/>
      <c r="I6322"/>
    </row>
    <row r="6323" spans="2:9" ht="15" x14ac:dyDescent="0.25">
      <c r="B6323"/>
      <c r="C6323"/>
      <c r="D6323"/>
      <c r="E6323"/>
      <c r="F6323"/>
      <c r="G6323" s="20"/>
      <c r="H6323"/>
      <c r="I6323"/>
    </row>
    <row r="6324" spans="2:9" ht="15" x14ac:dyDescent="0.25">
      <c r="B6324"/>
      <c r="C6324"/>
      <c r="D6324"/>
      <c r="E6324"/>
      <c r="F6324"/>
      <c r="G6324" s="20"/>
      <c r="H6324"/>
      <c r="I6324"/>
    </row>
    <row r="6325" spans="2:9" ht="15" x14ac:dyDescent="0.25">
      <c r="B6325"/>
      <c r="C6325"/>
      <c r="D6325"/>
      <c r="E6325"/>
      <c r="F6325"/>
      <c r="G6325" s="20"/>
      <c r="H6325"/>
      <c r="I6325"/>
    </row>
    <row r="6326" spans="2:9" ht="15" x14ac:dyDescent="0.25">
      <c r="B6326"/>
      <c r="C6326"/>
      <c r="D6326"/>
      <c r="E6326"/>
      <c r="F6326"/>
      <c r="G6326" s="20"/>
      <c r="H6326"/>
      <c r="I6326"/>
    </row>
    <row r="6327" spans="2:9" ht="15" x14ac:dyDescent="0.25">
      <c r="B6327"/>
      <c r="C6327"/>
      <c r="D6327"/>
      <c r="E6327"/>
      <c r="F6327"/>
      <c r="G6327" s="20"/>
      <c r="H6327"/>
      <c r="I6327"/>
    </row>
    <row r="6328" spans="2:9" ht="15" x14ac:dyDescent="0.25">
      <c r="B6328"/>
      <c r="C6328"/>
      <c r="D6328"/>
      <c r="E6328"/>
      <c r="F6328"/>
      <c r="G6328" s="20"/>
      <c r="H6328"/>
      <c r="I6328"/>
    </row>
    <row r="6329" spans="2:9" ht="15" x14ac:dyDescent="0.25">
      <c r="B6329"/>
      <c r="C6329"/>
      <c r="D6329"/>
      <c r="E6329"/>
      <c r="F6329"/>
      <c r="G6329" s="20"/>
      <c r="H6329"/>
      <c r="I6329"/>
    </row>
    <row r="6330" spans="2:9" ht="15" x14ac:dyDescent="0.25">
      <c r="B6330"/>
      <c r="C6330"/>
      <c r="D6330"/>
      <c r="E6330"/>
      <c r="F6330"/>
      <c r="G6330" s="20"/>
      <c r="H6330"/>
      <c r="I6330"/>
    </row>
    <row r="6331" spans="2:9" ht="15" x14ac:dyDescent="0.25">
      <c r="B6331"/>
      <c r="C6331"/>
      <c r="D6331"/>
      <c r="E6331"/>
      <c r="F6331"/>
      <c r="G6331" s="20"/>
      <c r="H6331"/>
      <c r="I6331"/>
    </row>
    <row r="6332" spans="2:9" ht="15" x14ac:dyDescent="0.25">
      <c r="B6332"/>
      <c r="C6332"/>
      <c r="D6332"/>
      <c r="E6332"/>
      <c r="F6332"/>
      <c r="G6332" s="20"/>
      <c r="H6332"/>
      <c r="I6332"/>
    </row>
    <row r="6333" spans="2:9" ht="15" x14ac:dyDescent="0.25">
      <c r="B6333"/>
      <c r="C6333"/>
      <c r="D6333"/>
      <c r="E6333"/>
      <c r="F6333"/>
      <c r="G6333" s="20"/>
      <c r="H6333"/>
      <c r="I6333"/>
    </row>
    <row r="6334" spans="2:9" ht="15" x14ac:dyDescent="0.25">
      <c r="B6334"/>
      <c r="C6334"/>
      <c r="D6334"/>
      <c r="E6334"/>
      <c r="F6334"/>
      <c r="G6334" s="20"/>
      <c r="H6334"/>
      <c r="I6334"/>
    </row>
    <row r="6335" spans="2:9" ht="15" x14ac:dyDescent="0.25">
      <c r="B6335"/>
      <c r="C6335"/>
      <c r="D6335"/>
      <c r="E6335"/>
      <c r="F6335"/>
      <c r="G6335" s="20"/>
      <c r="H6335"/>
      <c r="I6335"/>
    </row>
    <row r="6336" spans="2:9" ht="15" x14ac:dyDescent="0.25">
      <c r="B6336"/>
      <c r="C6336"/>
      <c r="D6336"/>
      <c r="E6336"/>
      <c r="F6336"/>
      <c r="G6336" s="20"/>
      <c r="H6336"/>
      <c r="I6336"/>
    </row>
    <row r="6337" spans="2:9" ht="15" x14ac:dyDescent="0.25">
      <c r="B6337"/>
      <c r="C6337"/>
      <c r="D6337"/>
      <c r="E6337"/>
      <c r="F6337"/>
      <c r="G6337" s="20"/>
      <c r="H6337"/>
      <c r="I6337"/>
    </row>
    <row r="6338" spans="2:9" ht="15" x14ac:dyDescent="0.25">
      <c r="B6338"/>
      <c r="C6338"/>
      <c r="D6338"/>
      <c r="E6338"/>
      <c r="F6338"/>
      <c r="G6338" s="20"/>
      <c r="H6338"/>
      <c r="I6338"/>
    </row>
    <row r="6339" spans="2:9" ht="15" x14ac:dyDescent="0.25">
      <c r="B6339"/>
      <c r="C6339"/>
      <c r="D6339"/>
      <c r="E6339"/>
      <c r="F6339"/>
      <c r="G6339" s="20"/>
      <c r="H6339"/>
      <c r="I6339"/>
    </row>
    <row r="6340" spans="2:9" ht="15" x14ac:dyDescent="0.25">
      <c r="B6340"/>
      <c r="C6340"/>
      <c r="D6340"/>
      <c r="E6340"/>
      <c r="F6340"/>
      <c r="G6340" s="20"/>
      <c r="H6340"/>
      <c r="I6340"/>
    </row>
    <row r="6341" spans="2:9" ht="15" x14ac:dyDescent="0.25">
      <c r="B6341"/>
      <c r="C6341"/>
      <c r="D6341"/>
      <c r="E6341"/>
      <c r="F6341"/>
      <c r="G6341" s="20"/>
      <c r="H6341"/>
      <c r="I6341"/>
    </row>
    <row r="6342" spans="2:9" ht="15" x14ac:dyDescent="0.25">
      <c r="B6342"/>
      <c r="C6342"/>
      <c r="D6342"/>
      <c r="E6342"/>
      <c r="F6342"/>
      <c r="G6342" s="20"/>
      <c r="H6342"/>
      <c r="I6342"/>
    </row>
    <row r="6343" spans="2:9" ht="15" x14ac:dyDescent="0.25">
      <c r="B6343"/>
      <c r="C6343"/>
      <c r="D6343"/>
      <c r="E6343"/>
      <c r="F6343"/>
      <c r="G6343" s="20"/>
      <c r="H6343"/>
      <c r="I6343"/>
    </row>
    <row r="6344" spans="2:9" ht="15" x14ac:dyDescent="0.25">
      <c r="B6344"/>
      <c r="C6344"/>
      <c r="D6344"/>
      <c r="E6344"/>
      <c r="F6344"/>
      <c r="G6344" s="20"/>
      <c r="H6344"/>
      <c r="I6344"/>
    </row>
    <row r="6345" spans="2:9" ht="15" x14ac:dyDescent="0.25">
      <c r="B6345"/>
      <c r="C6345"/>
      <c r="D6345"/>
      <c r="E6345"/>
      <c r="F6345"/>
      <c r="G6345" s="20"/>
      <c r="H6345"/>
      <c r="I6345"/>
    </row>
    <row r="6346" spans="2:9" ht="15" x14ac:dyDescent="0.25">
      <c r="B6346"/>
      <c r="C6346"/>
      <c r="D6346"/>
      <c r="E6346"/>
      <c r="F6346"/>
      <c r="G6346" s="20"/>
      <c r="H6346"/>
      <c r="I6346"/>
    </row>
    <row r="6347" spans="2:9" ht="15" x14ac:dyDescent="0.25">
      <c r="B6347"/>
      <c r="C6347"/>
      <c r="D6347"/>
      <c r="E6347"/>
      <c r="F6347"/>
      <c r="G6347" s="20"/>
      <c r="H6347"/>
      <c r="I6347"/>
    </row>
    <row r="6348" spans="2:9" ht="15" x14ac:dyDescent="0.25">
      <c r="B6348"/>
      <c r="C6348"/>
      <c r="D6348"/>
      <c r="E6348"/>
      <c r="F6348"/>
      <c r="G6348" s="20"/>
      <c r="H6348"/>
      <c r="I6348"/>
    </row>
    <row r="6349" spans="2:9" ht="15" x14ac:dyDescent="0.25">
      <c r="B6349"/>
      <c r="C6349"/>
      <c r="D6349"/>
      <c r="E6349"/>
      <c r="F6349"/>
      <c r="G6349" s="20"/>
      <c r="H6349"/>
      <c r="I6349"/>
    </row>
    <row r="6350" spans="2:9" ht="15" x14ac:dyDescent="0.25">
      <c r="B6350"/>
      <c r="C6350"/>
      <c r="D6350"/>
      <c r="E6350"/>
      <c r="F6350"/>
      <c r="G6350" s="20"/>
      <c r="H6350"/>
      <c r="I6350"/>
    </row>
    <row r="6351" spans="2:9" ht="15" x14ac:dyDescent="0.25">
      <c r="B6351"/>
      <c r="C6351"/>
      <c r="D6351"/>
      <c r="E6351"/>
      <c r="F6351"/>
      <c r="G6351" s="20"/>
      <c r="H6351"/>
      <c r="I6351"/>
    </row>
    <row r="6352" spans="2:9" ht="15" x14ac:dyDescent="0.25">
      <c r="B6352"/>
      <c r="C6352"/>
      <c r="D6352"/>
      <c r="E6352"/>
      <c r="F6352"/>
      <c r="G6352" s="20"/>
      <c r="H6352"/>
      <c r="I6352"/>
    </row>
    <row r="6353" spans="2:9" ht="15" x14ac:dyDescent="0.25">
      <c r="B6353"/>
      <c r="C6353"/>
      <c r="D6353"/>
      <c r="E6353"/>
      <c r="F6353"/>
      <c r="G6353" s="20"/>
      <c r="H6353"/>
      <c r="I6353"/>
    </row>
    <row r="6354" spans="2:9" ht="15" x14ac:dyDescent="0.25">
      <c r="B6354"/>
      <c r="C6354"/>
      <c r="D6354"/>
      <c r="E6354"/>
      <c r="F6354"/>
      <c r="G6354" s="20"/>
      <c r="H6354"/>
      <c r="I6354"/>
    </row>
    <row r="6355" spans="2:9" ht="15" x14ac:dyDescent="0.25">
      <c r="B6355"/>
      <c r="C6355"/>
      <c r="D6355"/>
      <c r="E6355"/>
      <c r="F6355"/>
      <c r="G6355" s="20"/>
      <c r="H6355"/>
      <c r="I6355"/>
    </row>
    <row r="6356" spans="2:9" ht="15" x14ac:dyDescent="0.25">
      <c r="B6356"/>
      <c r="C6356"/>
      <c r="D6356"/>
      <c r="E6356"/>
      <c r="F6356"/>
      <c r="G6356" s="20"/>
      <c r="H6356"/>
      <c r="I6356"/>
    </row>
    <row r="6357" spans="2:9" ht="15" x14ac:dyDescent="0.25">
      <c r="B6357"/>
      <c r="C6357"/>
      <c r="D6357"/>
      <c r="E6357"/>
      <c r="F6357"/>
      <c r="G6357" s="20"/>
      <c r="H6357"/>
      <c r="I6357"/>
    </row>
    <row r="6358" spans="2:9" ht="15" x14ac:dyDescent="0.25">
      <c r="B6358"/>
      <c r="C6358"/>
      <c r="D6358"/>
      <c r="E6358"/>
      <c r="F6358"/>
      <c r="G6358" s="20"/>
      <c r="H6358"/>
      <c r="I6358"/>
    </row>
    <row r="6359" spans="2:9" ht="15" x14ac:dyDescent="0.25">
      <c r="B6359"/>
      <c r="C6359"/>
      <c r="D6359"/>
      <c r="E6359"/>
      <c r="F6359"/>
      <c r="G6359" s="20"/>
      <c r="H6359"/>
      <c r="I6359"/>
    </row>
    <row r="6360" spans="2:9" ht="15" x14ac:dyDescent="0.25">
      <c r="B6360"/>
      <c r="C6360"/>
      <c r="D6360"/>
      <c r="E6360"/>
      <c r="F6360"/>
      <c r="G6360" s="20"/>
      <c r="H6360"/>
      <c r="I6360"/>
    </row>
    <row r="6361" spans="2:9" ht="15" x14ac:dyDescent="0.25">
      <c r="B6361"/>
      <c r="C6361"/>
      <c r="D6361"/>
      <c r="E6361"/>
      <c r="F6361"/>
      <c r="G6361" s="20"/>
      <c r="H6361"/>
      <c r="I6361"/>
    </row>
    <row r="6362" spans="2:9" ht="15" x14ac:dyDescent="0.25">
      <c r="B6362"/>
      <c r="C6362"/>
      <c r="D6362"/>
      <c r="E6362"/>
      <c r="F6362"/>
      <c r="G6362" s="20"/>
      <c r="H6362"/>
      <c r="I6362"/>
    </row>
    <row r="6363" spans="2:9" ht="15" x14ac:dyDescent="0.25">
      <c r="B6363"/>
      <c r="C6363"/>
      <c r="D6363"/>
      <c r="E6363"/>
      <c r="F6363"/>
      <c r="G6363" s="20"/>
      <c r="H6363"/>
      <c r="I6363"/>
    </row>
    <row r="6364" spans="2:9" ht="15" x14ac:dyDescent="0.25">
      <c r="B6364"/>
      <c r="C6364"/>
      <c r="D6364"/>
      <c r="E6364"/>
      <c r="F6364"/>
      <c r="G6364" s="20"/>
      <c r="H6364"/>
      <c r="I6364"/>
    </row>
    <row r="6365" spans="2:9" ht="15" x14ac:dyDescent="0.25">
      <c r="B6365"/>
      <c r="C6365"/>
      <c r="D6365"/>
      <c r="E6365"/>
      <c r="F6365"/>
      <c r="G6365" s="20"/>
      <c r="H6365"/>
      <c r="I6365"/>
    </row>
    <row r="6366" spans="2:9" ht="15" x14ac:dyDescent="0.25">
      <c r="B6366"/>
      <c r="C6366"/>
      <c r="D6366"/>
      <c r="E6366"/>
      <c r="F6366"/>
      <c r="G6366" s="20"/>
      <c r="H6366"/>
      <c r="I6366"/>
    </row>
    <row r="6367" spans="2:9" ht="15" x14ac:dyDescent="0.25">
      <c r="B6367"/>
      <c r="C6367"/>
      <c r="D6367"/>
      <c r="E6367"/>
      <c r="F6367"/>
      <c r="G6367" s="20"/>
      <c r="H6367"/>
      <c r="I6367"/>
    </row>
    <row r="6368" spans="2:9" ht="15" x14ac:dyDescent="0.25">
      <c r="B6368"/>
      <c r="C6368"/>
      <c r="D6368"/>
      <c r="E6368"/>
      <c r="F6368"/>
      <c r="G6368" s="20"/>
      <c r="H6368"/>
      <c r="I6368"/>
    </row>
    <row r="6369" spans="2:9" ht="15" x14ac:dyDescent="0.25">
      <c r="B6369"/>
      <c r="C6369"/>
      <c r="D6369"/>
      <c r="E6369"/>
      <c r="F6369"/>
      <c r="G6369" s="20"/>
      <c r="H6369"/>
      <c r="I6369"/>
    </row>
    <row r="6370" spans="2:9" ht="15" x14ac:dyDescent="0.25">
      <c r="B6370"/>
      <c r="C6370"/>
      <c r="D6370"/>
      <c r="E6370"/>
      <c r="F6370"/>
      <c r="G6370" s="20"/>
      <c r="H6370"/>
      <c r="I6370"/>
    </row>
    <row r="6371" spans="2:9" ht="15" x14ac:dyDescent="0.25">
      <c r="B6371"/>
      <c r="C6371"/>
      <c r="D6371"/>
      <c r="E6371"/>
      <c r="F6371"/>
      <c r="G6371" s="20"/>
      <c r="H6371"/>
      <c r="I6371"/>
    </row>
    <row r="6372" spans="2:9" ht="15" x14ac:dyDescent="0.25">
      <c r="B6372"/>
      <c r="C6372"/>
      <c r="D6372"/>
      <c r="E6372"/>
      <c r="F6372"/>
      <c r="G6372" s="20"/>
      <c r="H6372"/>
      <c r="I6372"/>
    </row>
    <row r="6373" spans="2:9" ht="15" x14ac:dyDescent="0.25">
      <c r="B6373"/>
      <c r="C6373"/>
      <c r="D6373"/>
      <c r="E6373"/>
      <c r="F6373"/>
      <c r="G6373" s="20"/>
      <c r="H6373"/>
      <c r="I6373"/>
    </row>
    <row r="6374" spans="2:9" ht="15" x14ac:dyDescent="0.25">
      <c r="B6374"/>
      <c r="C6374"/>
      <c r="D6374"/>
      <c r="E6374"/>
      <c r="F6374"/>
      <c r="G6374" s="20"/>
      <c r="H6374"/>
      <c r="I6374"/>
    </row>
    <row r="6375" spans="2:9" ht="15" x14ac:dyDescent="0.25">
      <c r="B6375"/>
      <c r="C6375"/>
      <c r="D6375"/>
      <c r="E6375"/>
      <c r="F6375"/>
      <c r="G6375" s="20"/>
      <c r="H6375"/>
      <c r="I6375"/>
    </row>
    <row r="6376" spans="2:9" ht="15" x14ac:dyDescent="0.25">
      <c r="B6376"/>
      <c r="C6376"/>
      <c r="D6376"/>
      <c r="E6376"/>
      <c r="F6376"/>
      <c r="G6376" s="20"/>
      <c r="H6376"/>
      <c r="I6376"/>
    </row>
    <row r="6377" spans="2:9" ht="15" x14ac:dyDescent="0.25">
      <c r="B6377"/>
      <c r="C6377"/>
      <c r="D6377"/>
      <c r="E6377"/>
      <c r="F6377"/>
      <c r="G6377" s="20"/>
      <c r="H6377"/>
      <c r="I6377"/>
    </row>
    <row r="6378" spans="2:9" ht="15" x14ac:dyDescent="0.25">
      <c r="B6378"/>
      <c r="C6378"/>
      <c r="D6378"/>
      <c r="E6378"/>
      <c r="F6378"/>
      <c r="G6378" s="20"/>
      <c r="H6378"/>
      <c r="I6378"/>
    </row>
    <row r="6379" spans="2:9" ht="15" x14ac:dyDescent="0.25">
      <c r="B6379"/>
      <c r="C6379"/>
      <c r="D6379"/>
      <c r="E6379"/>
      <c r="F6379"/>
      <c r="G6379" s="20"/>
      <c r="H6379"/>
      <c r="I6379"/>
    </row>
    <row r="6380" spans="2:9" ht="15" x14ac:dyDescent="0.25">
      <c r="B6380"/>
      <c r="C6380"/>
      <c r="D6380"/>
      <c r="E6380"/>
      <c r="F6380"/>
      <c r="G6380" s="20"/>
      <c r="H6380"/>
      <c r="I6380"/>
    </row>
    <row r="6381" spans="2:9" ht="15" x14ac:dyDescent="0.25">
      <c r="B6381"/>
      <c r="C6381"/>
      <c r="D6381"/>
      <c r="E6381"/>
      <c r="F6381"/>
      <c r="G6381" s="20"/>
      <c r="H6381"/>
      <c r="I6381"/>
    </row>
    <row r="6382" spans="2:9" ht="15" x14ac:dyDescent="0.25">
      <c r="B6382"/>
      <c r="C6382"/>
      <c r="D6382"/>
      <c r="E6382"/>
      <c r="F6382"/>
      <c r="G6382" s="20"/>
      <c r="H6382"/>
      <c r="I6382"/>
    </row>
    <row r="6383" spans="2:9" ht="15" x14ac:dyDescent="0.25">
      <c r="B6383"/>
      <c r="C6383"/>
      <c r="D6383"/>
      <c r="E6383"/>
      <c r="F6383"/>
      <c r="G6383" s="20"/>
      <c r="H6383"/>
      <c r="I6383"/>
    </row>
    <row r="6384" spans="2:9" ht="15" x14ac:dyDescent="0.25">
      <c r="B6384"/>
      <c r="C6384"/>
      <c r="D6384"/>
      <c r="E6384"/>
      <c r="F6384"/>
      <c r="G6384" s="20"/>
      <c r="H6384"/>
      <c r="I6384"/>
    </row>
    <row r="6385" spans="2:9" ht="15" x14ac:dyDescent="0.25">
      <c r="B6385"/>
      <c r="C6385"/>
      <c r="D6385"/>
      <c r="E6385"/>
      <c r="F6385"/>
      <c r="G6385" s="20"/>
      <c r="H6385"/>
      <c r="I6385"/>
    </row>
    <row r="6386" spans="2:9" ht="15" x14ac:dyDescent="0.25">
      <c r="B6386"/>
      <c r="C6386"/>
      <c r="D6386"/>
      <c r="E6386"/>
      <c r="F6386"/>
      <c r="G6386" s="20"/>
      <c r="H6386"/>
      <c r="I6386"/>
    </row>
    <row r="6387" spans="2:9" ht="15" x14ac:dyDescent="0.25">
      <c r="B6387"/>
      <c r="C6387"/>
      <c r="D6387"/>
      <c r="E6387"/>
      <c r="F6387"/>
      <c r="G6387" s="20"/>
      <c r="H6387"/>
      <c r="I6387"/>
    </row>
    <row r="6388" spans="2:9" ht="15" x14ac:dyDescent="0.25">
      <c r="B6388"/>
      <c r="C6388"/>
      <c r="D6388"/>
      <c r="E6388"/>
      <c r="F6388"/>
      <c r="G6388" s="20"/>
      <c r="H6388"/>
      <c r="I6388"/>
    </row>
    <row r="6389" spans="2:9" ht="15" x14ac:dyDescent="0.25">
      <c r="B6389"/>
      <c r="C6389"/>
      <c r="D6389"/>
      <c r="E6389"/>
      <c r="F6389"/>
      <c r="G6389" s="20"/>
      <c r="H6389"/>
      <c r="I6389"/>
    </row>
    <row r="6390" spans="2:9" ht="15" x14ac:dyDescent="0.25">
      <c r="B6390"/>
      <c r="C6390"/>
      <c r="D6390"/>
      <c r="E6390"/>
      <c r="F6390"/>
      <c r="G6390" s="20"/>
      <c r="H6390"/>
      <c r="I6390"/>
    </row>
    <row r="6391" spans="2:9" ht="15" x14ac:dyDescent="0.25">
      <c r="B6391"/>
      <c r="C6391"/>
      <c r="D6391"/>
      <c r="E6391"/>
      <c r="F6391"/>
      <c r="G6391" s="20"/>
      <c r="H6391"/>
      <c r="I6391"/>
    </row>
    <row r="6392" spans="2:9" ht="15" x14ac:dyDescent="0.25">
      <c r="B6392"/>
      <c r="C6392"/>
      <c r="D6392"/>
      <c r="E6392"/>
      <c r="F6392"/>
      <c r="G6392" s="20"/>
      <c r="H6392"/>
      <c r="I6392"/>
    </row>
    <row r="6393" spans="2:9" ht="15" x14ac:dyDescent="0.25">
      <c r="B6393"/>
      <c r="C6393"/>
      <c r="D6393"/>
      <c r="E6393"/>
      <c r="F6393"/>
      <c r="G6393" s="20"/>
      <c r="H6393"/>
      <c r="I6393"/>
    </row>
    <row r="6394" spans="2:9" ht="15" x14ac:dyDescent="0.25">
      <c r="B6394"/>
      <c r="C6394"/>
      <c r="D6394"/>
      <c r="E6394"/>
      <c r="F6394"/>
      <c r="G6394" s="20"/>
      <c r="H6394"/>
      <c r="I6394"/>
    </row>
    <row r="6395" spans="2:9" ht="15" x14ac:dyDescent="0.25">
      <c r="B6395"/>
      <c r="C6395"/>
      <c r="D6395"/>
      <c r="E6395"/>
      <c r="F6395"/>
      <c r="G6395" s="20"/>
      <c r="H6395"/>
      <c r="I6395"/>
    </row>
    <row r="6396" spans="2:9" ht="15" x14ac:dyDescent="0.25">
      <c r="B6396"/>
      <c r="C6396"/>
      <c r="D6396"/>
      <c r="E6396"/>
      <c r="F6396"/>
      <c r="G6396" s="20"/>
      <c r="H6396"/>
      <c r="I6396"/>
    </row>
    <row r="6397" spans="2:9" ht="15" x14ac:dyDescent="0.25">
      <c r="B6397"/>
      <c r="C6397"/>
      <c r="D6397"/>
      <c r="E6397"/>
      <c r="F6397"/>
      <c r="G6397" s="20"/>
      <c r="H6397"/>
      <c r="I6397"/>
    </row>
    <row r="6398" spans="2:9" ht="15" x14ac:dyDescent="0.25">
      <c r="B6398"/>
      <c r="C6398"/>
      <c r="D6398"/>
      <c r="E6398"/>
      <c r="F6398"/>
      <c r="G6398" s="20"/>
      <c r="H6398"/>
      <c r="I6398"/>
    </row>
    <row r="6399" spans="2:9" ht="15" x14ac:dyDescent="0.25">
      <c r="B6399"/>
      <c r="C6399"/>
      <c r="D6399"/>
      <c r="E6399"/>
      <c r="F6399"/>
      <c r="G6399" s="20"/>
      <c r="H6399"/>
      <c r="I6399"/>
    </row>
    <row r="6400" spans="2:9" ht="15" x14ac:dyDescent="0.25">
      <c r="B6400"/>
      <c r="C6400"/>
      <c r="D6400"/>
      <c r="E6400"/>
      <c r="F6400"/>
      <c r="G6400" s="20"/>
      <c r="H6400"/>
      <c r="I6400"/>
    </row>
    <row r="6401" spans="2:9" ht="15" x14ac:dyDescent="0.25">
      <c r="B6401"/>
      <c r="C6401"/>
      <c r="D6401"/>
      <c r="E6401"/>
      <c r="F6401"/>
      <c r="G6401" s="20"/>
      <c r="H6401"/>
      <c r="I6401"/>
    </row>
    <row r="6402" spans="2:9" ht="15" x14ac:dyDescent="0.25">
      <c r="B6402"/>
      <c r="C6402"/>
      <c r="D6402"/>
      <c r="E6402"/>
      <c r="F6402"/>
      <c r="G6402" s="20"/>
      <c r="H6402"/>
      <c r="I6402"/>
    </row>
    <row r="6403" spans="2:9" ht="15" x14ac:dyDescent="0.25">
      <c r="B6403"/>
      <c r="C6403"/>
      <c r="D6403"/>
      <c r="E6403"/>
      <c r="F6403"/>
      <c r="G6403" s="20"/>
      <c r="H6403"/>
      <c r="I6403"/>
    </row>
    <row r="6404" spans="2:9" ht="15" x14ac:dyDescent="0.25">
      <c r="B6404"/>
      <c r="C6404"/>
      <c r="D6404"/>
      <c r="E6404"/>
      <c r="F6404"/>
      <c r="G6404" s="20"/>
      <c r="H6404"/>
      <c r="I6404"/>
    </row>
    <row r="6405" spans="2:9" ht="15" x14ac:dyDescent="0.25">
      <c r="B6405"/>
      <c r="C6405"/>
      <c r="D6405"/>
      <c r="E6405"/>
      <c r="F6405"/>
      <c r="G6405" s="20"/>
      <c r="H6405"/>
      <c r="I6405"/>
    </row>
    <row r="6406" spans="2:9" ht="15" x14ac:dyDescent="0.25">
      <c r="B6406"/>
      <c r="C6406"/>
      <c r="D6406"/>
      <c r="E6406"/>
      <c r="F6406"/>
      <c r="G6406" s="20"/>
      <c r="H6406"/>
      <c r="I6406"/>
    </row>
    <row r="6407" spans="2:9" ht="15" x14ac:dyDescent="0.25">
      <c r="B6407"/>
      <c r="C6407"/>
      <c r="D6407"/>
      <c r="E6407"/>
      <c r="F6407"/>
      <c r="G6407" s="20"/>
      <c r="H6407"/>
      <c r="I6407"/>
    </row>
    <row r="6408" spans="2:9" ht="15" x14ac:dyDescent="0.25">
      <c r="B6408"/>
      <c r="C6408"/>
      <c r="D6408"/>
      <c r="E6408"/>
      <c r="F6408"/>
      <c r="G6408" s="20"/>
      <c r="H6408"/>
      <c r="I6408"/>
    </row>
    <row r="6409" spans="2:9" ht="15" x14ac:dyDescent="0.25">
      <c r="B6409"/>
      <c r="C6409"/>
      <c r="D6409"/>
      <c r="E6409"/>
      <c r="F6409"/>
      <c r="G6409" s="20"/>
      <c r="H6409"/>
      <c r="I6409"/>
    </row>
    <row r="6410" spans="2:9" ht="15" x14ac:dyDescent="0.25">
      <c r="B6410"/>
      <c r="C6410"/>
      <c r="D6410"/>
      <c r="E6410"/>
      <c r="F6410"/>
      <c r="G6410" s="20"/>
      <c r="H6410"/>
      <c r="I6410"/>
    </row>
    <row r="6411" spans="2:9" ht="15" x14ac:dyDescent="0.25">
      <c r="B6411"/>
      <c r="C6411"/>
      <c r="D6411"/>
      <c r="E6411"/>
      <c r="F6411"/>
      <c r="G6411" s="20"/>
      <c r="H6411"/>
      <c r="I6411"/>
    </row>
    <row r="6412" spans="2:9" ht="15" x14ac:dyDescent="0.25">
      <c r="B6412"/>
      <c r="C6412"/>
      <c r="D6412"/>
      <c r="E6412"/>
      <c r="F6412"/>
      <c r="G6412" s="20"/>
      <c r="H6412"/>
      <c r="I6412"/>
    </row>
    <row r="6413" spans="2:9" ht="15" x14ac:dyDescent="0.25">
      <c r="B6413"/>
      <c r="C6413"/>
      <c r="D6413"/>
      <c r="E6413"/>
      <c r="F6413"/>
      <c r="G6413" s="20"/>
      <c r="H6413"/>
      <c r="I6413"/>
    </row>
    <row r="6414" spans="2:9" ht="15" x14ac:dyDescent="0.25">
      <c r="B6414"/>
      <c r="C6414"/>
      <c r="D6414"/>
      <c r="E6414"/>
      <c r="F6414"/>
      <c r="G6414" s="20"/>
      <c r="H6414"/>
      <c r="I6414"/>
    </row>
    <row r="6415" spans="2:9" ht="15" x14ac:dyDescent="0.25">
      <c r="B6415"/>
      <c r="C6415"/>
      <c r="D6415"/>
      <c r="E6415"/>
      <c r="F6415"/>
      <c r="G6415" s="20"/>
      <c r="H6415"/>
      <c r="I6415"/>
    </row>
    <row r="6416" spans="2:9" ht="15" x14ac:dyDescent="0.25">
      <c r="B6416"/>
      <c r="C6416"/>
      <c r="D6416"/>
      <c r="E6416"/>
      <c r="F6416"/>
      <c r="G6416" s="20"/>
      <c r="H6416"/>
      <c r="I6416"/>
    </row>
    <row r="6417" spans="2:9" ht="15" x14ac:dyDescent="0.25">
      <c r="B6417"/>
      <c r="C6417"/>
      <c r="D6417"/>
      <c r="E6417"/>
      <c r="F6417"/>
      <c r="G6417" s="20"/>
      <c r="H6417"/>
      <c r="I6417"/>
    </row>
    <row r="6418" spans="2:9" ht="15" x14ac:dyDescent="0.25">
      <c r="B6418"/>
      <c r="C6418"/>
      <c r="D6418"/>
      <c r="E6418"/>
      <c r="F6418"/>
      <c r="G6418" s="20"/>
      <c r="H6418"/>
      <c r="I6418"/>
    </row>
    <row r="6419" spans="2:9" ht="15" x14ac:dyDescent="0.25">
      <c r="B6419"/>
      <c r="C6419"/>
      <c r="D6419"/>
      <c r="E6419"/>
      <c r="F6419"/>
      <c r="G6419" s="20"/>
      <c r="H6419"/>
      <c r="I6419"/>
    </row>
    <row r="6420" spans="2:9" ht="15" x14ac:dyDescent="0.25">
      <c r="B6420"/>
      <c r="C6420"/>
      <c r="D6420"/>
      <c r="E6420"/>
      <c r="F6420"/>
      <c r="G6420" s="20"/>
      <c r="H6420"/>
      <c r="I6420"/>
    </row>
    <row r="6421" spans="2:9" ht="15" x14ac:dyDescent="0.25">
      <c r="B6421"/>
      <c r="C6421"/>
      <c r="D6421"/>
      <c r="E6421"/>
      <c r="F6421"/>
      <c r="G6421" s="20"/>
      <c r="H6421"/>
      <c r="I6421"/>
    </row>
    <row r="6422" spans="2:9" ht="15" x14ac:dyDescent="0.25">
      <c r="B6422"/>
      <c r="C6422"/>
      <c r="D6422"/>
      <c r="E6422"/>
      <c r="F6422"/>
      <c r="G6422" s="20"/>
      <c r="H6422"/>
      <c r="I6422"/>
    </row>
    <row r="6423" spans="2:9" ht="15" x14ac:dyDescent="0.25">
      <c r="B6423"/>
      <c r="C6423"/>
      <c r="D6423"/>
      <c r="E6423"/>
      <c r="F6423"/>
      <c r="G6423" s="20"/>
      <c r="H6423"/>
      <c r="I6423"/>
    </row>
    <row r="6424" spans="2:9" ht="15" x14ac:dyDescent="0.25">
      <c r="B6424"/>
      <c r="C6424"/>
      <c r="D6424"/>
      <c r="E6424"/>
      <c r="F6424"/>
      <c r="G6424" s="20"/>
      <c r="H6424"/>
      <c r="I6424"/>
    </row>
    <row r="6425" spans="2:9" ht="15" x14ac:dyDescent="0.25">
      <c r="B6425"/>
      <c r="C6425"/>
      <c r="D6425"/>
      <c r="E6425"/>
      <c r="F6425"/>
      <c r="G6425" s="20"/>
      <c r="H6425"/>
      <c r="I6425"/>
    </row>
    <row r="6426" spans="2:9" ht="15" x14ac:dyDescent="0.25">
      <c r="B6426"/>
      <c r="C6426"/>
      <c r="D6426"/>
      <c r="E6426"/>
      <c r="F6426"/>
      <c r="G6426" s="20"/>
      <c r="H6426"/>
      <c r="I6426"/>
    </row>
    <row r="6427" spans="2:9" ht="15" x14ac:dyDescent="0.25">
      <c r="B6427"/>
      <c r="C6427"/>
      <c r="D6427"/>
      <c r="E6427"/>
      <c r="F6427"/>
      <c r="G6427" s="20"/>
      <c r="H6427"/>
      <c r="I6427"/>
    </row>
    <row r="6428" spans="2:9" ht="15" x14ac:dyDescent="0.25">
      <c r="B6428"/>
      <c r="C6428"/>
      <c r="D6428"/>
      <c r="E6428"/>
      <c r="F6428"/>
      <c r="G6428" s="20"/>
      <c r="H6428"/>
      <c r="I6428"/>
    </row>
    <row r="6429" spans="2:9" ht="15" x14ac:dyDescent="0.25">
      <c r="B6429"/>
      <c r="C6429"/>
      <c r="D6429"/>
      <c r="E6429"/>
      <c r="F6429"/>
      <c r="G6429" s="20"/>
      <c r="H6429"/>
      <c r="I6429"/>
    </row>
    <row r="6430" spans="2:9" ht="15" x14ac:dyDescent="0.25">
      <c r="B6430"/>
      <c r="C6430"/>
      <c r="D6430"/>
      <c r="E6430"/>
      <c r="F6430"/>
      <c r="G6430" s="20"/>
      <c r="H6430"/>
      <c r="I6430"/>
    </row>
    <row r="6431" spans="2:9" ht="15" x14ac:dyDescent="0.25">
      <c r="B6431"/>
      <c r="C6431"/>
      <c r="D6431"/>
      <c r="E6431"/>
      <c r="F6431"/>
      <c r="G6431" s="20"/>
      <c r="H6431"/>
      <c r="I6431"/>
    </row>
    <row r="6432" spans="2:9" ht="15" x14ac:dyDescent="0.25">
      <c r="B6432"/>
      <c r="C6432"/>
      <c r="D6432"/>
      <c r="E6432"/>
      <c r="F6432"/>
      <c r="G6432" s="20"/>
      <c r="H6432"/>
      <c r="I6432"/>
    </row>
    <row r="6433" spans="2:9" ht="15" x14ac:dyDescent="0.25">
      <c r="B6433"/>
      <c r="C6433"/>
      <c r="D6433"/>
      <c r="E6433"/>
      <c r="F6433"/>
      <c r="G6433" s="20"/>
      <c r="H6433"/>
      <c r="I6433"/>
    </row>
    <row r="6434" spans="2:9" ht="15" x14ac:dyDescent="0.25">
      <c r="B6434"/>
      <c r="C6434"/>
      <c r="D6434"/>
      <c r="E6434"/>
      <c r="F6434"/>
      <c r="G6434" s="20"/>
      <c r="H6434"/>
      <c r="I6434"/>
    </row>
    <row r="6435" spans="2:9" ht="15" x14ac:dyDescent="0.25">
      <c r="B6435"/>
      <c r="C6435"/>
      <c r="D6435"/>
      <c r="E6435"/>
      <c r="F6435"/>
      <c r="G6435" s="20"/>
      <c r="H6435"/>
      <c r="I6435"/>
    </row>
    <row r="6436" spans="2:9" ht="15" x14ac:dyDescent="0.25">
      <c r="B6436"/>
      <c r="C6436"/>
      <c r="D6436"/>
      <c r="E6436"/>
      <c r="F6436"/>
      <c r="G6436" s="20"/>
      <c r="H6436"/>
      <c r="I6436"/>
    </row>
    <row r="6437" spans="2:9" ht="15" x14ac:dyDescent="0.25">
      <c r="B6437"/>
      <c r="C6437"/>
      <c r="D6437"/>
      <c r="E6437"/>
      <c r="F6437"/>
      <c r="G6437" s="20"/>
      <c r="H6437"/>
      <c r="I6437"/>
    </row>
    <row r="6438" spans="2:9" ht="15" x14ac:dyDescent="0.25">
      <c r="B6438"/>
      <c r="C6438"/>
      <c r="D6438"/>
      <c r="E6438"/>
      <c r="F6438"/>
      <c r="G6438" s="20"/>
      <c r="H6438"/>
      <c r="I6438"/>
    </row>
    <row r="6439" spans="2:9" ht="15" x14ac:dyDescent="0.25">
      <c r="B6439"/>
      <c r="C6439"/>
      <c r="D6439"/>
      <c r="E6439"/>
      <c r="F6439"/>
      <c r="G6439" s="20"/>
      <c r="H6439"/>
      <c r="I6439"/>
    </row>
    <row r="6440" spans="2:9" ht="15" x14ac:dyDescent="0.25">
      <c r="B6440"/>
      <c r="C6440"/>
      <c r="D6440"/>
      <c r="E6440"/>
      <c r="F6440"/>
      <c r="G6440" s="20"/>
      <c r="H6440"/>
      <c r="I6440"/>
    </row>
    <row r="6441" spans="2:9" ht="15" x14ac:dyDescent="0.25">
      <c r="B6441"/>
      <c r="C6441"/>
      <c r="D6441"/>
      <c r="E6441"/>
      <c r="F6441"/>
      <c r="G6441" s="20"/>
      <c r="H6441"/>
      <c r="I6441"/>
    </row>
    <row r="6442" spans="2:9" ht="15" x14ac:dyDescent="0.25">
      <c r="B6442"/>
      <c r="C6442"/>
      <c r="D6442"/>
      <c r="E6442"/>
      <c r="F6442"/>
      <c r="G6442" s="20"/>
      <c r="H6442"/>
      <c r="I6442"/>
    </row>
    <row r="6443" spans="2:9" ht="15" x14ac:dyDescent="0.25">
      <c r="B6443"/>
      <c r="C6443"/>
      <c r="D6443"/>
      <c r="E6443"/>
      <c r="F6443"/>
      <c r="G6443" s="20"/>
      <c r="H6443"/>
      <c r="I6443"/>
    </row>
    <row r="6444" spans="2:9" ht="15" x14ac:dyDescent="0.25">
      <c r="B6444"/>
      <c r="C6444"/>
      <c r="D6444"/>
      <c r="E6444"/>
      <c r="F6444"/>
      <c r="G6444" s="20"/>
      <c r="H6444"/>
      <c r="I6444"/>
    </row>
    <row r="6445" spans="2:9" ht="15" x14ac:dyDescent="0.25">
      <c r="B6445"/>
      <c r="C6445"/>
      <c r="D6445"/>
      <c r="E6445"/>
      <c r="F6445"/>
      <c r="G6445" s="20"/>
      <c r="H6445"/>
      <c r="I6445"/>
    </row>
    <row r="6446" spans="2:9" ht="15" x14ac:dyDescent="0.25">
      <c r="B6446"/>
      <c r="C6446"/>
      <c r="D6446"/>
      <c r="E6446"/>
      <c r="F6446"/>
      <c r="G6446" s="20"/>
      <c r="H6446"/>
      <c r="I6446"/>
    </row>
    <row r="6447" spans="2:9" ht="15" x14ac:dyDescent="0.25">
      <c r="B6447"/>
      <c r="C6447"/>
      <c r="D6447"/>
      <c r="E6447"/>
      <c r="F6447"/>
      <c r="G6447" s="20"/>
      <c r="H6447"/>
      <c r="I6447"/>
    </row>
    <row r="6448" spans="2:9" ht="15" x14ac:dyDescent="0.25">
      <c r="B6448"/>
      <c r="C6448"/>
      <c r="D6448"/>
      <c r="E6448"/>
      <c r="F6448"/>
      <c r="G6448" s="20"/>
      <c r="H6448"/>
      <c r="I6448"/>
    </row>
    <row r="6449" spans="2:9" ht="15" x14ac:dyDescent="0.25">
      <c r="B6449"/>
      <c r="C6449"/>
      <c r="D6449"/>
      <c r="E6449"/>
      <c r="F6449"/>
      <c r="G6449" s="20"/>
      <c r="H6449"/>
      <c r="I6449"/>
    </row>
    <row r="6450" spans="2:9" ht="15" x14ac:dyDescent="0.25">
      <c r="B6450"/>
      <c r="C6450"/>
      <c r="D6450"/>
      <c r="E6450"/>
      <c r="F6450"/>
      <c r="G6450" s="20"/>
      <c r="H6450"/>
      <c r="I6450"/>
    </row>
    <row r="6451" spans="2:9" ht="15" x14ac:dyDescent="0.25">
      <c r="B6451"/>
      <c r="C6451"/>
      <c r="D6451"/>
      <c r="E6451"/>
      <c r="F6451"/>
      <c r="G6451" s="20"/>
      <c r="H6451"/>
      <c r="I6451"/>
    </row>
    <row r="6452" spans="2:9" ht="15" x14ac:dyDescent="0.25">
      <c r="B6452"/>
      <c r="C6452"/>
      <c r="D6452"/>
      <c r="E6452"/>
      <c r="F6452"/>
      <c r="G6452" s="20"/>
      <c r="H6452"/>
      <c r="I6452"/>
    </row>
    <row r="6453" spans="2:9" ht="15" x14ac:dyDescent="0.25">
      <c r="B6453"/>
      <c r="C6453"/>
      <c r="D6453"/>
      <c r="E6453"/>
      <c r="F6453"/>
      <c r="G6453" s="20"/>
      <c r="H6453"/>
      <c r="I6453"/>
    </row>
    <row r="6454" spans="2:9" ht="15" x14ac:dyDescent="0.25">
      <c r="B6454"/>
      <c r="C6454"/>
      <c r="D6454"/>
      <c r="E6454"/>
      <c r="F6454"/>
      <c r="G6454" s="20"/>
      <c r="H6454"/>
      <c r="I6454"/>
    </row>
    <row r="6455" spans="2:9" ht="15" x14ac:dyDescent="0.25">
      <c r="B6455"/>
      <c r="C6455"/>
      <c r="D6455"/>
      <c r="E6455"/>
      <c r="F6455"/>
      <c r="G6455" s="20"/>
      <c r="H6455"/>
      <c r="I6455"/>
    </row>
    <row r="6456" spans="2:9" ht="15" x14ac:dyDescent="0.25">
      <c r="B6456"/>
      <c r="C6456"/>
      <c r="D6456"/>
      <c r="E6456"/>
      <c r="F6456"/>
      <c r="G6456" s="20"/>
      <c r="H6456"/>
      <c r="I6456"/>
    </row>
    <row r="6457" spans="2:9" ht="15" x14ac:dyDescent="0.25">
      <c r="B6457"/>
      <c r="C6457"/>
      <c r="D6457"/>
      <c r="E6457"/>
      <c r="F6457"/>
      <c r="G6457" s="20"/>
      <c r="H6457"/>
      <c r="I6457"/>
    </row>
    <row r="6458" spans="2:9" ht="15" x14ac:dyDescent="0.25">
      <c r="B6458"/>
      <c r="C6458"/>
      <c r="D6458"/>
      <c r="E6458"/>
      <c r="F6458"/>
      <c r="G6458" s="20"/>
      <c r="H6458"/>
      <c r="I6458"/>
    </row>
    <row r="6459" spans="2:9" ht="15" x14ac:dyDescent="0.25">
      <c r="B6459"/>
      <c r="C6459"/>
      <c r="D6459"/>
      <c r="E6459"/>
      <c r="F6459"/>
      <c r="G6459" s="20"/>
      <c r="H6459"/>
      <c r="I6459"/>
    </row>
    <row r="6460" spans="2:9" ht="15" x14ac:dyDescent="0.25">
      <c r="B6460"/>
      <c r="C6460"/>
      <c r="D6460"/>
      <c r="E6460"/>
      <c r="F6460"/>
      <c r="G6460" s="20"/>
      <c r="H6460"/>
      <c r="I6460"/>
    </row>
    <row r="6461" spans="2:9" ht="15" x14ac:dyDescent="0.25">
      <c r="B6461"/>
      <c r="C6461"/>
      <c r="D6461"/>
      <c r="E6461"/>
      <c r="F6461"/>
      <c r="G6461" s="20"/>
      <c r="H6461"/>
      <c r="I6461"/>
    </row>
    <row r="6462" spans="2:9" ht="15" x14ac:dyDescent="0.25">
      <c r="B6462"/>
      <c r="C6462"/>
      <c r="D6462"/>
      <c r="E6462"/>
      <c r="F6462"/>
      <c r="G6462" s="20"/>
      <c r="H6462"/>
      <c r="I6462"/>
    </row>
    <row r="6463" spans="2:9" ht="15" x14ac:dyDescent="0.25">
      <c r="B6463"/>
      <c r="C6463"/>
      <c r="D6463"/>
      <c r="E6463"/>
      <c r="F6463"/>
      <c r="G6463" s="20"/>
      <c r="H6463"/>
      <c r="I6463"/>
    </row>
    <row r="6464" spans="2:9" ht="15" x14ac:dyDescent="0.25">
      <c r="B6464"/>
      <c r="C6464"/>
      <c r="D6464"/>
      <c r="E6464"/>
      <c r="F6464"/>
      <c r="G6464" s="20"/>
      <c r="H6464"/>
      <c r="I6464"/>
    </row>
    <row r="6465" spans="2:9" ht="15" x14ac:dyDescent="0.25">
      <c r="B6465"/>
      <c r="C6465"/>
      <c r="D6465"/>
      <c r="E6465"/>
      <c r="F6465"/>
      <c r="G6465" s="20"/>
      <c r="H6465"/>
      <c r="I6465"/>
    </row>
    <row r="6466" spans="2:9" ht="15" x14ac:dyDescent="0.25">
      <c r="B6466"/>
      <c r="C6466"/>
      <c r="D6466"/>
      <c r="E6466"/>
      <c r="F6466"/>
      <c r="G6466" s="20"/>
      <c r="H6466"/>
      <c r="I6466"/>
    </row>
    <row r="6467" spans="2:9" ht="15" x14ac:dyDescent="0.25">
      <c r="B6467"/>
      <c r="C6467"/>
      <c r="D6467"/>
      <c r="E6467"/>
      <c r="F6467"/>
      <c r="G6467" s="20"/>
      <c r="H6467"/>
      <c r="I6467"/>
    </row>
    <row r="6468" spans="2:9" ht="15" x14ac:dyDescent="0.25">
      <c r="B6468"/>
      <c r="C6468"/>
      <c r="D6468"/>
      <c r="E6468"/>
      <c r="F6468"/>
      <c r="G6468" s="20"/>
      <c r="H6468"/>
      <c r="I6468"/>
    </row>
    <row r="6469" spans="2:9" ht="15" x14ac:dyDescent="0.25">
      <c r="B6469"/>
      <c r="C6469"/>
      <c r="D6469"/>
      <c r="E6469"/>
      <c r="F6469"/>
      <c r="G6469" s="20"/>
      <c r="H6469"/>
      <c r="I6469"/>
    </row>
    <row r="6470" spans="2:9" ht="15" x14ac:dyDescent="0.25">
      <c r="B6470"/>
      <c r="C6470"/>
      <c r="D6470"/>
      <c r="E6470"/>
      <c r="F6470"/>
      <c r="G6470" s="20"/>
      <c r="H6470"/>
      <c r="I6470"/>
    </row>
    <row r="6471" spans="2:9" ht="15" x14ac:dyDescent="0.25">
      <c r="B6471"/>
      <c r="C6471"/>
      <c r="D6471"/>
      <c r="E6471"/>
      <c r="F6471"/>
      <c r="G6471" s="20"/>
      <c r="H6471"/>
      <c r="I6471"/>
    </row>
    <row r="6472" spans="2:9" ht="15" x14ac:dyDescent="0.25">
      <c r="B6472"/>
      <c r="C6472"/>
      <c r="D6472"/>
      <c r="E6472"/>
      <c r="F6472"/>
      <c r="G6472" s="20"/>
      <c r="H6472"/>
      <c r="I6472"/>
    </row>
    <row r="6473" spans="2:9" ht="15" x14ac:dyDescent="0.25">
      <c r="B6473"/>
      <c r="C6473"/>
      <c r="D6473"/>
      <c r="E6473"/>
      <c r="F6473"/>
      <c r="G6473" s="20"/>
      <c r="H6473"/>
      <c r="I6473"/>
    </row>
    <row r="6474" spans="2:9" ht="15" x14ac:dyDescent="0.25">
      <c r="B6474"/>
      <c r="C6474"/>
      <c r="D6474"/>
      <c r="E6474"/>
      <c r="F6474"/>
      <c r="G6474" s="20"/>
      <c r="H6474"/>
      <c r="I6474"/>
    </row>
    <row r="6475" spans="2:9" ht="15" x14ac:dyDescent="0.25">
      <c r="B6475"/>
      <c r="C6475"/>
      <c r="D6475"/>
      <c r="E6475"/>
      <c r="F6475"/>
      <c r="G6475" s="20"/>
      <c r="H6475"/>
      <c r="I6475"/>
    </row>
    <row r="6476" spans="2:9" ht="15" x14ac:dyDescent="0.25">
      <c r="B6476"/>
      <c r="C6476"/>
      <c r="D6476"/>
      <c r="E6476"/>
      <c r="F6476"/>
      <c r="G6476" s="20"/>
      <c r="H6476"/>
      <c r="I6476"/>
    </row>
    <row r="6477" spans="2:9" ht="15" x14ac:dyDescent="0.25">
      <c r="B6477"/>
      <c r="C6477"/>
      <c r="D6477"/>
      <c r="E6477"/>
      <c r="F6477"/>
      <c r="G6477" s="20"/>
      <c r="H6477"/>
      <c r="I6477"/>
    </row>
    <row r="6478" spans="2:9" ht="15" x14ac:dyDescent="0.25">
      <c r="B6478"/>
      <c r="C6478"/>
      <c r="D6478"/>
      <c r="E6478"/>
      <c r="F6478"/>
      <c r="G6478" s="20"/>
      <c r="H6478"/>
      <c r="I6478"/>
    </row>
    <row r="6479" spans="2:9" ht="15" x14ac:dyDescent="0.25">
      <c r="B6479"/>
      <c r="C6479"/>
      <c r="D6479"/>
      <c r="E6479"/>
      <c r="F6479"/>
      <c r="G6479" s="20"/>
      <c r="H6479"/>
      <c r="I6479"/>
    </row>
    <row r="6480" spans="2:9" ht="15" x14ac:dyDescent="0.25">
      <c r="B6480"/>
      <c r="C6480"/>
      <c r="D6480"/>
      <c r="E6480"/>
      <c r="F6480"/>
      <c r="G6480" s="20"/>
      <c r="H6480"/>
      <c r="I6480"/>
    </row>
    <row r="6481" spans="2:9" ht="15" x14ac:dyDescent="0.25">
      <c r="B6481"/>
      <c r="C6481"/>
      <c r="D6481"/>
      <c r="E6481"/>
      <c r="F6481"/>
      <c r="G6481" s="20"/>
      <c r="H6481"/>
      <c r="I6481"/>
    </row>
    <row r="6482" spans="2:9" ht="15" x14ac:dyDescent="0.25">
      <c r="B6482"/>
      <c r="C6482"/>
      <c r="D6482"/>
      <c r="E6482"/>
      <c r="F6482"/>
      <c r="G6482" s="20"/>
      <c r="H6482"/>
      <c r="I6482"/>
    </row>
    <row r="6483" spans="2:9" ht="15" x14ac:dyDescent="0.25">
      <c r="B6483"/>
      <c r="C6483"/>
      <c r="D6483"/>
      <c r="E6483"/>
      <c r="F6483"/>
      <c r="G6483" s="20"/>
      <c r="H6483"/>
      <c r="I6483"/>
    </row>
    <row r="6484" spans="2:9" ht="15" x14ac:dyDescent="0.25">
      <c r="B6484"/>
      <c r="C6484"/>
      <c r="D6484"/>
      <c r="E6484"/>
      <c r="F6484"/>
      <c r="G6484" s="20"/>
      <c r="H6484"/>
      <c r="I6484"/>
    </row>
    <row r="6485" spans="2:9" ht="15" x14ac:dyDescent="0.25">
      <c r="B6485"/>
      <c r="C6485"/>
      <c r="D6485"/>
      <c r="E6485"/>
      <c r="F6485"/>
      <c r="G6485" s="20"/>
      <c r="H6485"/>
      <c r="I6485"/>
    </row>
    <row r="6486" spans="2:9" ht="15" x14ac:dyDescent="0.25">
      <c r="B6486"/>
      <c r="C6486"/>
      <c r="D6486"/>
      <c r="E6486"/>
      <c r="F6486"/>
      <c r="G6486" s="20"/>
      <c r="H6486"/>
      <c r="I6486"/>
    </row>
    <row r="6487" spans="2:9" ht="15" x14ac:dyDescent="0.25">
      <c r="B6487"/>
      <c r="C6487"/>
      <c r="D6487"/>
      <c r="E6487"/>
      <c r="F6487"/>
      <c r="G6487" s="20"/>
      <c r="H6487"/>
      <c r="I6487"/>
    </row>
    <row r="6488" spans="2:9" ht="15" x14ac:dyDescent="0.25">
      <c r="B6488"/>
      <c r="C6488"/>
      <c r="D6488"/>
      <c r="E6488"/>
      <c r="F6488"/>
      <c r="G6488" s="20"/>
      <c r="H6488"/>
      <c r="I6488"/>
    </row>
    <row r="6489" spans="2:9" ht="15" x14ac:dyDescent="0.25">
      <c r="B6489"/>
      <c r="C6489"/>
      <c r="D6489"/>
      <c r="E6489"/>
      <c r="F6489"/>
      <c r="G6489" s="20"/>
      <c r="H6489"/>
      <c r="I6489"/>
    </row>
    <row r="6490" spans="2:9" ht="15" x14ac:dyDescent="0.25">
      <c r="B6490"/>
      <c r="C6490"/>
      <c r="D6490"/>
      <c r="E6490"/>
      <c r="F6490"/>
      <c r="G6490" s="20"/>
      <c r="H6490"/>
      <c r="I6490"/>
    </row>
    <row r="6491" spans="2:9" ht="15" x14ac:dyDescent="0.25">
      <c r="B6491"/>
      <c r="C6491"/>
      <c r="D6491"/>
      <c r="E6491"/>
      <c r="F6491"/>
      <c r="G6491" s="20"/>
      <c r="H6491"/>
      <c r="I6491"/>
    </row>
    <row r="6492" spans="2:9" ht="15" x14ac:dyDescent="0.25">
      <c r="B6492"/>
      <c r="C6492"/>
      <c r="D6492"/>
      <c r="E6492"/>
      <c r="F6492"/>
      <c r="G6492" s="20"/>
      <c r="H6492"/>
      <c r="I6492"/>
    </row>
    <row r="6493" spans="2:9" ht="15" x14ac:dyDescent="0.25">
      <c r="B6493"/>
      <c r="C6493"/>
      <c r="D6493"/>
      <c r="E6493"/>
      <c r="F6493"/>
      <c r="G6493" s="20"/>
      <c r="H6493"/>
      <c r="I6493"/>
    </row>
    <row r="6494" spans="2:9" ht="15" x14ac:dyDescent="0.25">
      <c r="B6494"/>
      <c r="C6494"/>
      <c r="D6494"/>
      <c r="E6494"/>
      <c r="F6494"/>
      <c r="G6494" s="20"/>
      <c r="H6494"/>
      <c r="I6494"/>
    </row>
    <row r="6495" spans="2:9" ht="15" x14ac:dyDescent="0.25">
      <c r="B6495"/>
      <c r="C6495"/>
      <c r="D6495"/>
      <c r="E6495"/>
      <c r="F6495"/>
      <c r="G6495" s="20"/>
      <c r="H6495"/>
      <c r="I6495"/>
    </row>
    <row r="6496" spans="2:9" ht="15" x14ac:dyDescent="0.25">
      <c r="B6496"/>
      <c r="C6496"/>
      <c r="D6496"/>
      <c r="E6496"/>
      <c r="F6496"/>
      <c r="G6496" s="20"/>
      <c r="H6496"/>
      <c r="I6496"/>
    </row>
    <row r="6497" spans="2:9" ht="15" x14ac:dyDescent="0.25">
      <c r="B6497"/>
      <c r="C6497"/>
      <c r="D6497"/>
      <c r="E6497"/>
      <c r="F6497"/>
      <c r="G6497" s="20"/>
      <c r="H6497"/>
      <c r="I6497"/>
    </row>
    <row r="6498" spans="2:9" ht="15" x14ac:dyDescent="0.25">
      <c r="B6498"/>
      <c r="C6498"/>
      <c r="D6498"/>
      <c r="E6498"/>
      <c r="F6498"/>
      <c r="G6498" s="20"/>
      <c r="H6498"/>
      <c r="I6498"/>
    </row>
    <row r="6499" spans="2:9" ht="15" x14ac:dyDescent="0.25">
      <c r="B6499"/>
      <c r="C6499"/>
      <c r="D6499"/>
      <c r="E6499"/>
      <c r="F6499"/>
      <c r="G6499" s="20"/>
      <c r="H6499"/>
      <c r="I6499"/>
    </row>
    <row r="6500" spans="2:9" ht="15" x14ac:dyDescent="0.25">
      <c r="B6500"/>
      <c r="C6500"/>
      <c r="D6500"/>
      <c r="E6500"/>
      <c r="F6500"/>
      <c r="G6500" s="20"/>
      <c r="H6500"/>
      <c r="I6500"/>
    </row>
    <row r="6501" spans="2:9" ht="15" x14ac:dyDescent="0.25">
      <c r="B6501"/>
      <c r="C6501"/>
      <c r="D6501"/>
      <c r="E6501"/>
      <c r="F6501"/>
      <c r="G6501" s="20"/>
      <c r="H6501"/>
      <c r="I6501"/>
    </row>
    <row r="6502" spans="2:9" ht="15" x14ac:dyDescent="0.25">
      <c r="B6502"/>
      <c r="C6502"/>
      <c r="D6502"/>
      <c r="E6502"/>
      <c r="F6502"/>
      <c r="G6502" s="20"/>
      <c r="H6502"/>
      <c r="I6502"/>
    </row>
    <row r="6503" spans="2:9" ht="15" x14ac:dyDescent="0.25">
      <c r="B6503"/>
      <c r="C6503"/>
      <c r="D6503"/>
      <c r="E6503"/>
      <c r="F6503"/>
      <c r="G6503" s="20"/>
      <c r="H6503"/>
      <c r="I6503"/>
    </row>
    <row r="6504" spans="2:9" ht="15" x14ac:dyDescent="0.25">
      <c r="B6504"/>
      <c r="C6504"/>
      <c r="D6504"/>
      <c r="E6504"/>
      <c r="F6504"/>
      <c r="G6504" s="20"/>
      <c r="H6504"/>
      <c r="I6504"/>
    </row>
    <row r="6505" spans="2:9" ht="15" x14ac:dyDescent="0.25">
      <c r="B6505"/>
      <c r="C6505"/>
      <c r="D6505"/>
      <c r="E6505"/>
      <c r="F6505"/>
      <c r="G6505" s="20"/>
      <c r="H6505"/>
      <c r="I6505"/>
    </row>
    <row r="6506" spans="2:9" ht="15" x14ac:dyDescent="0.25">
      <c r="B6506"/>
      <c r="C6506"/>
      <c r="D6506"/>
      <c r="E6506"/>
      <c r="F6506"/>
      <c r="G6506" s="20"/>
      <c r="H6506"/>
      <c r="I6506"/>
    </row>
    <row r="6507" spans="2:9" ht="15" x14ac:dyDescent="0.25">
      <c r="B6507"/>
      <c r="C6507"/>
      <c r="D6507"/>
      <c r="E6507"/>
      <c r="F6507"/>
      <c r="G6507" s="20"/>
      <c r="H6507"/>
      <c r="I6507"/>
    </row>
    <row r="6508" spans="2:9" ht="15" x14ac:dyDescent="0.25">
      <c r="B6508"/>
      <c r="C6508"/>
      <c r="D6508"/>
      <c r="E6508"/>
      <c r="F6508"/>
      <c r="G6508" s="20"/>
      <c r="H6508"/>
      <c r="I6508"/>
    </row>
    <row r="6509" spans="2:9" ht="15" x14ac:dyDescent="0.25">
      <c r="B6509"/>
      <c r="C6509"/>
      <c r="D6509"/>
      <c r="E6509"/>
      <c r="F6509"/>
      <c r="G6509" s="20"/>
      <c r="H6509"/>
      <c r="I6509"/>
    </row>
    <row r="6510" spans="2:9" ht="15" x14ac:dyDescent="0.25">
      <c r="B6510"/>
      <c r="C6510"/>
      <c r="D6510"/>
      <c r="E6510"/>
      <c r="F6510"/>
      <c r="G6510" s="20"/>
      <c r="H6510"/>
      <c r="I6510"/>
    </row>
    <row r="6511" spans="2:9" ht="15" x14ac:dyDescent="0.25">
      <c r="B6511"/>
      <c r="C6511"/>
      <c r="D6511"/>
      <c r="E6511"/>
      <c r="F6511"/>
      <c r="G6511" s="20"/>
      <c r="H6511"/>
      <c r="I6511"/>
    </row>
    <row r="6512" spans="2:9" ht="15" x14ac:dyDescent="0.25">
      <c r="B6512"/>
      <c r="C6512"/>
      <c r="D6512"/>
      <c r="E6512"/>
      <c r="F6512"/>
      <c r="G6512" s="20"/>
      <c r="H6512"/>
      <c r="I6512"/>
    </row>
    <row r="6513" spans="2:9" ht="15" x14ac:dyDescent="0.25">
      <c r="B6513"/>
      <c r="C6513"/>
      <c r="D6513"/>
      <c r="E6513"/>
      <c r="F6513"/>
      <c r="G6513" s="20"/>
      <c r="H6513"/>
      <c r="I6513"/>
    </row>
    <row r="6514" spans="2:9" ht="15" x14ac:dyDescent="0.25">
      <c r="B6514"/>
      <c r="C6514"/>
      <c r="D6514"/>
      <c r="E6514"/>
      <c r="F6514"/>
      <c r="G6514" s="20"/>
      <c r="H6514"/>
      <c r="I6514"/>
    </row>
    <row r="6515" spans="2:9" ht="15" x14ac:dyDescent="0.25">
      <c r="B6515"/>
      <c r="C6515"/>
      <c r="D6515"/>
      <c r="E6515"/>
      <c r="F6515"/>
      <c r="G6515" s="20"/>
      <c r="H6515"/>
      <c r="I6515"/>
    </row>
    <row r="6516" spans="2:9" ht="15" x14ac:dyDescent="0.25">
      <c r="B6516"/>
      <c r="C6516"/>
      <c r="D6516"/>
      <c r="E6516"/>
      <c r="F6516"/>
      <c r="G6516" s="20"/>
      <c r="H6516"/>
      <c r="I6516"/>
    </row>
    <row r="6517" spans="2:9" ht="15" x14ac:dyDescent="0.25">
      <c r="B6517"/>
      <c r="C6517"/>
      <c r="D6517"/>
      <c r="E6517"/>
      <c r="F6517"/>
      <c r="G6517" s="20"/>
      <c r="H6517"/>
      <c r="I6517"/>
    </row>
    <row r="6518" spans="2:9" ht="15" x14ac:dyDescent="0.25">
      <c r="B6518"/>
      <c r="C6518"/>
      <c r="D6518"/>
      <c r="E6518"/>
      <c r="F6518"/>
      <c r="G6518" s="20"/>
      <c r="H6518"/>
      <c r="I6518"/>
    </row>
    <row r="6519" spans="2:9" ht="15" x14ac:dyDescent="0.25">
      <c r="B6519"/>
      <c r="C6519"/>
      <c r="D6519"/>
      <c r="E6519"/>
      <c r="F6519"/>
      <c r="G6519" s="20"/>
      <c r="H6519"/>
      <c r="I6519"/>
    </row>
    <row r="6520" spans="2:9" ht="15" x14ac:dyDescent="0.25">
      <c r="B6520"/>
      <c r="C6520"/>
      <c r="D6520"/>
      <c r="E6520"/>
      <c r="F6520"/>
      <c r="G6520" s="20"/>
      <c r="H6520"/>
      <c r="I6520"/>
    </row>
    <row r="6521" spans="2:9" ht="15" x14ac:dyDescent="0.25">
      <c r="B6521"/>
      <c r="C6521"/>
      <c r="D6521"/>
      <c r="E6521"/>
      <c r="F6521"/>
      <c r="G6521" s="20"/>
      <c r="H6521"/>
      <c r="I6521"/>
    </row>
    <row r="6522" spans="2:9" ht="15" x14ac:dyDescent="0.25">
      <c r="B6522"/>
      <c r="C6522"/>
      <c r="D6522"/>
      <c r="E6522"/>
      <c r="F6522"/>
      <c r="G6522" s="20"/>
      <c r="H6522"/>
      <c r="I6522"/>
    </row>
    <row r="6523" spans="2:9" ht="15" x14ac:dyDescent="0.25">
      <c r="B6523"/>
      <c r="C6523"/>
      <c r="D6523"/>
      <c r="E6523"/>
      <c r="F6523"/>
      <c r="G6523" s="20"/>
      <c r="H6523"/>
      <c r="I6523"/>
    </row>
    <row r="6524" spans="2:9" ht="15" x14ac:dyDescent="0.25">
      <c r="B6524"/>
      <c r="C6524"/>
      <c r="D6524"/>
      <c r="E6524"/>
      <c r="F6524"/>
      <c r="G6524" s="20"/>
      <c r="H6524"/>
      <c r="I6524"/>
    </row>
    <row r="6525" spans="2:9" ht="15" x14ac:dyDescent="0.25">
      <c r="B6525"/>
      <c r="C6525"/>
      <c r="D6525"/>
      <c r="E6525"/>
      <c r="F6525"/>
      <c r="G6525" s="20"/>
      <c r="H6525"/>
      <c r="I6525"/>
    </row>
    <row r="6526" spans="2:9" ht="15" x14ac:dyDescent="0.25">
      <c r="B6526"/>
      <c r="C6526"/>
      <c r="D6526"/>
      <c r="E6526"/>
      <c r="F6526"/>
      <c r="G6526" s="20"/>
      <c r="H6526"/>
      <c r="I6526"/>
    </row>
    <row r="6527" spans="2:9" ht="15" x14ac:dyDescent="0.25">
      <c r="B6527"/>
      <c r="C6527"/>
      <c r="D6527"/>
      <c r="E6527"/>
      <c r="F6527"/>
      <c r="G6527" s="20"/>
      <c r="H6527"/>
      <c r="I6527"/>
    </row>
    <row r="6528" spans="2:9" ht="15" x14ac:dyDescent="0.25">
      <c r="B6528"/>
      <c r="C6528"/>
      <c r="D6528"/>
      <c r="E6528"/>
      <c r="F6528"/>
      <c r="G6528" s="20"/>
      <c r="H6528"/>
      <c r="I6528"/>
    </row>
    <row r="6529" spans="2:9" ht="15" x14ac:dyDescent="0.25">
      <c r="B6529"/>
      <c r="C6529"/>
      <c r="D6529"/>
      <c r="E6529"/>
      <c r="F6529"/>
      <c r="G6529" s="20"/>
      <c r="H6529"/>
      <c r="I6529"/>
    </row>
    <row r="6530" spans="2:9" ht="15" x14ac:dyDescent="0.25">
      <c r="B6530"/>
      <c r="C6530"/>
      <c r="D6530"/>
      <c r="E6530"/>
      <c r="F6530"/>
      <c r="G6530" s="20"/>
      <c r="H6530"/>
      <c r="I6530"/>
    </row>
    <row r="6531" spans="2:9" ht="15" x14ac:dyDescent="0.25">
      <c r="B6531"/>
      <c r="C6531"/>
      <c r="D6531"/>
      <c r="E6531"/>
      <c r="F6531"/>
      <c r="G6531" s="20"/>
      <c r="H6531"/>
      <c r="I6531"/>
    </row>
    <row r="6532" spans="2:9" ht="15" x14ac:dyDescent="0.25">
      <c r="B6532"/>
      <c r="C6532"/>
      <c r="D6532"/>
      <c r="E6532"/>
      <c r="F6532"/>
      <c r="G6532" s="20"/>
      <c r="H6532"/>
      <c r="I6532"/>
    </row>
    <row r="6533" spans="2:9" ht="15" x14ac:dyDescent="0.25">
      <c r="B6533"/>
      <c r="C6533"/>
      <c r="D6533"/>
      <c r="E6533"/>
      <c r="F6533"/>
      <c r="G6533" s="20"/>
      <c r="H6533"/>
      <c r="I6533"/>
    </row>
    <row r="6534" spans="2:9" ht="15" x14ac:dyDescent="0.25">
      <c r="B6534"/>
      <c r="C6534"/>
      <c r="D6534"/>
      <c r="E6534"/>
      <c r="F6534"/>
      <c r="G6534" s="20"/>
      <c r="H6534"/>
      <c r="I6534"/>
    </row>
    <row r="6535" spans="2:9" ht="15" x14ac:dyDescent="0.25">
      <c r="B6535"/>
      <c r="C6535"/>
      <c r="D6535"/>
      <c r="E6535"/>
      <c r="F6535"/>
      <c r="G6535" s="20"/>
      <c r="H6535"/>
      <c r="I6535"/>
    </row>
    <row r="6536" spans="2:9" ht="15" x14ac:dyDescent="0.25">
      <c r="B6536"/>
      <c r="C6536"/>
      <c r="D6536"/>
      <c r="E6536"/>
      <c r="F6536"/>
      <c r="G6536" s="20"/>
      <c r="H6536"/>
      <c r="I6536"/>
    </row>
    <row r="6537" spans="2:9" ht="15" x14ac:dyDescent="0.25">
      <c r="B6537"/>
      <c r="C6537"/>
      <c r="D6537"/>
      <c r="E6537"/>
      <c r="F6537"/>
      <c r="G6537" s="20"/>
      <c r="H6537"/>
      <c r="I6537"/>
    </row>
    <row r="6538" spans="2:9" ht="15" x14ac:dyDescent="0.25">
      <c r="B6538"/>
      <c r="C6538"/>
      <c r="D6538"/>
      <c r="E6538"/>
      <c r="F6538"/>
      <c r="G6538" s="20"/>
      <c r="H6538"/>
      <c r="I6538"/>
    </row>
    <row r="6539" spans="2:9" ht="15" x14ac:dyDescent="0.25">
      <c r="B6539"/>
      <c r="C6539"/>
      <c r="D6539"/>
      <c r="E6539"/>
      <c r="F6539"/>
      <c r="G6539" s="20"/>
      <c r="H6539"/>
      <c r="I6539"/>
    </row>
    <row r="6540" spans="2:9" ht="15" x14ac:dyDescent="0.25">
      <c r="B6540"/>
      <c r="C6540"/>
      <c r="D6540"/>
      <c r="E6540"/>
      <c r="F6540"/>
      <c r="G6540" s="20"/>
      <c r="H6540"/>
      <c r="I6540"/>
    </row>
    <row r="6541" spans="2:9" ht="15" x14ac:dyDescent="0.25">
      <c r="B6541"/>
      <c r="C6541"/>
      <c r="D6541"/>
      <c r="E6541"/>
      <c r="F6541"/>
      <c r="G6541" s="20"/>
      <c r="H6541"/>
      <c r="I6541"/>
    </row>
    <row r="6542" spans="2:9" ht="15" x14ac:dyDescent="0.25">
      <c r="B6542"/>
      <c r="C6542"/>
      <c r="D6542"/>
      <c r="E6542"/>
      <c r="F6542"/>
      <c r="G6542" s="20"/>
      <c r="H6542"/>
      <c r="I6542"/>
    </row>
    <row r="6543" spans="2:9" ht="15" x14ac:dyDescent="0.25">
      <c r="B6543"/>
      <c r="C6543"/>
      <c r="D6543"/>
      <c r="E6543"/>
      <c r="F6543"/>
      <c r="G6543" s="20"/>
      <c r="H6543"/>
      <c r="I6543"/>
    </row>
    <row r="6544" spans="2:9" ht="15" x14ac:dyDescent="0.25">
      <c r="B6544"/>
      <c r="C6544"/>
      <c r="D6544"/>
      <c r="E6544"/>
      <c r="F6544"/>
      <c r="G6544" s="20"/>
      <c r="H6544"/>
      <c r="I6544"/>
    </row>
    <row r="6545" spans="2:9" ht="15" x14ac:dyDescent="0.25">
      <c r="B6545"/>
      <c r="C6545"/>
      <c r="D6545"/>
      <c r="E6545"/>
      <c r="F6545"/>
      <c r="G6545" s="20"/>
      <c r="H6545"/>
      <c r="I6545"/>
    </row>
    <row r="6546" spans="2:9" ht="15" x14ac:dyDescent="0.25">
      <c r="B6546"/>
      <c r="C6546"/>
      <c r="D6546"/>
      <c r="E6546"/>
      <c r="F6546"/>
      <c r="G6546" s="20"/>
      <c r="H6546"/>
      <c r="I6546"/>
    </row>
    <row r="6547" spans="2:9" ht="15" x14ac:dyDescent="0.25">
      <c r="B6547"/>
      <c r="C6547"/>
      <c r="D6547"/>
      <c r="E6547"/>
      <c r="F6547"/>
      <c r="G6547" s="20"/>
      <c r="H6547"/>
      <c r="I6547"/>
    </row>
    <row r="6548" spans="2:9" ht="15" x14ac:dyDescent="0.25">
      <c r="B6548"/>
      <c r="C6548"/>
      <c r="D6548"/>
      <c r="E6548"/>
      <c r="F6548"/>
      <c r="G6548" s="20"/>
      <c r="H6548"/>
      <c r="I6548"/>
    </row>
    <row r="6549" spans="2:9" ht="15" x14ac:dyDescent="0.25">
      <c r="B6549"/>
      <c r="C6549"/>
      <c r="D6549"/>
      <c r="E6549"/>
      <c r="F6549"/>
      <c r="G6549" s="20"/>
      <c r="H6549"/>
      <c r="I6549"/>
    </row>
    <row r="6550" spans="2:9" ht="15" x14ac:dyDescent="0.25">
      <c r="B6550"/>
      <c r="C6550"/>
      <c r="D6550"/>
      <c r="E6550"/>
      <c r="F6550"/>
      <c r="G6550" s="20"/>
      <c r="H6550"/>
      <c r="I6550"/>
    </row>
    <row r="6551" spans="2:9" ht="15" x14ac:dyDescent="0.25">
      <c r="B6551"/>
      <c r="C6551"/>
      <c r="D6551"/>
      <c r="E6551"/>
      <c r="F6551"/>
      <c r="G6551" s="20"/>
      <c r="H6551"/>
      <c r="I6551"/>
    </row>
    <row r="6552" spans="2:9" ht="15" x14ac:dyDescent="0.25">
      <c r="B6552"/>
      <c r="C6552"/>
      <c r="D6552"/>
      <c r="E6552"/>
      <c r="F6552"/>
      <c r="G6552" s="20"/>
      <c r="H6552"/>
      <c r="I6552"/>
    </row>
    <row r="6553" spans="2:9" ht="15" x14ac:dyDescent="0.25">
      <c r="B6553"/>
      <c r="C6553"/>
      <c r="D6553"/>
      <c r="E6553"/>
      <c r="F6553"/>
      <c r="G6553" s="20"/>
      <c r="H6553"/>
      <c r="I6553"/>
    </row>
    <row r="6554" spans="2:9" ht="15" x14ac:dyDescent="0.25">
      <c r="B6554"/>
      <c r="C6554"/>
      <c r="D6554"/>
      <c r="E6554"/>
      <c r="F6554"/>
      <c r="G6554" s="20"/>
      <c r="H6554"/>
      <c r="I6554"/>
    </row>
    <row r="6555" spans="2:9" ht="15" x14ac:dyDescent="0.25">
      <c r="B6555"/>
      <c r="C6555"/>
      <c r="D6555"/>
      <c r="E6555"/>
      <c r="F6555"/>
      <c r="G6555" s="20"/>
      <c r="H6555"/>
      <c r="I6555"/>
    </row>
    <row r="6556" spans="2:9" ht="15" x14ac:dyDescent="0.25">
      <c r="B6556"/>
      <c r="C6556"/>
      <c r="D6556"/>
      <c r="E6556"/>
      <c r="F6556"/>
      <c r="G6556" s="20"/>
      <c r="H6556"/>
      <c r="I6556"/>
    </row>
    <row r="6557" spans="2:9" ht="15" x14ac:dyDescent="0.25">
      <c r="B6557"/>
      <c r="C6557"/>
      <c r="D6557"/>
      <c r="E6557"/>
      <c r="F6557"/>
      <c r="G6557" s="20"/>
      <c r="H6557"/>
      <c r="I6557"/>
    </row>
    <row r="6558" spans="2:9" ht="15" x14ac:dyDescent="0.25">
      <c r="B6558"/>
      <c r="C6558"/>
      <c r="D6558"/>
      <c r="E6558"/>
      <c r="F6558"/>
      <c r="G6558" s="20"/>
      <c r="H6558"/>
      <c r="I6558"/>
    </row>
    <row r="6559" spans="2:9" ht="15" x14ac:dyDescent="0.25">
      <c r="B6559"/>
      <c r="C6559"/>
      <c r="D6559"/>
      <c r="E6559"/>
      <c r="F6559"/>
      <c r="G6559" s="20"/>
      <c r="H6559"/>
      <c r="I6559"/>
    </row>
    <row r="6560" spans="2:9" ht="15" x14ac:dyDescent="0.25">
      <c r="B6560"/>
      <c r="C6560"/>
      <c r="D6560"/>
      <c r="E6560"/>
      <c r="F6560"/>
      <c r="G6560" s="20"/>
      <c r="H6560"/>
      <c r="I6560"/>
    </row>
    <row r="6561" spans="2:9" ht="15" x14ac:dyDescent="0.25">
      <c r="B6561"/>
      <c r="C6561"/>
      <c r="D6561"/>
      <c r="E6561"/>
      <c r="F6561"/>
      <c r="G6561" s="20"/>
      <c r="H6561"/>
      <c r="I6561"/>
    </row>
    <row r="6562" spans="2:9" ht="15" x14ac:dyDescent="0.25">
      <c r="B6562"/>
      <c r="C6562"/>
      <c r="D6562"/>
      <c r="E6562"/>
      <c r="F6562"/>
      <c r="G6562" s="20"/>
      <c r="H6562"/>
      <c r="I6562"/>
    </row>
    <row r="6563" spans="2:9" ht="15" x14ac:dyDescent="0.25">
      <c r="B6563"/>
      <c r="C6563"/>
      <c r="D6563"/>
      <c r="E6563"/>
      <c r="F6563"/>
      <c r="G6563" s="20"/>
      <c r="H6563"/>
      <c r="I6563"/>
    </row>
    <row r="6564" spans="2:9" ht="15" x14ac:dyDescent="0.25">
      <c r="B6564"/>
      <c r="C6564"/>
      <c r="D6564"/>
      <c r="E6564"/>
      <c r="F6564"/>
      <c r="G6564" s="20"/>
      <c r="H6564"/>
      <c r="I6564"/>
    </row>
    <row r="6565" spans="2:9" ht="15" x14ac:dyDescent="0.25">
      <c r="B6565"/>
      <c r="C6565"/>
      <c r="D6565"/>
      <c r="E6565"/>
      <c r="F6565"/>
      <c r="G6565" s="20"/>
      <c r="H6565"/>
      <c r="I6565"/>
    </row>
    <row r="6566" spans="2:9" ht="15" x14ac:dyDescent="0.25">
      <c r="B6566"/>
      <c r="C6566"/>
      <c r="D6566"/>
      <c r="E6566"/>
      <c r="F6566"/>
      <c r="G6566" s="20"/>
      <c r="H6566"/>
      <c r="I6566"/>
    </row>
    <row r="6567" spans="2:9" ht="15" x14ac:dyDescent="0.25">
      <c r="B6567"/>
      <c r="C6567"/>
      <c r="D6567"/>
      <c r="E6567"/>
      <c r="F6567"/>
      <c r="G6567" s="20"/>
      <c r="H6567"/>
      <c r="I6567"/>
    </row>
    <row r="6568" spans="2:9" ht="15" x14ac:dyDescent="0.25">
      <c r="B6568"/>
      <c r="C6568"/>
      <c r="D6568"/>
      <c r="E6568"/>
      <c r="F6568"/>
      <c r="G6568" s="20"/>
      <c r="H6568"/>
      <c r="I6568"/>
    </row>
    <row r="6569" spans="2:9" ht="15" x14ac:dyDescent="0.25">
      <c r="B6569"/>
      <c r="C6569"/>
      <c r="D6569"/>
      <c r="E6569"/>
      <c r="F6569"/>
      <c r="G6569" s="20"/>
      <c r="H6569"/>
      <c r="I6569"/>
    </row>
    <row r="6570" spans="2:9" ht="15" x14ac:dyDescent="0.25">
      <c r="B6570"/>
      <c r="C6570"/>
      <c r="D6570"/>
      <c r="E6570"/>
      <c r="F6570"/>
      <c r="G6570" s="20"/>
      <c r="H6570"/>
      <c r="I6570"/>
    </row>
    <row r="6571" spans="2:9" ht="15" x14ac:dyDescent="0.25">
      <c r="B6571"/>
      <c r="C6571"/>
      <c r="D6571"/>
      <c r="E6571"/>
      <c r="F6571"/>
      <c r="G6571" s="20"/>
      <c r="H6571"/>
      <c r="I6571"/>
    </row>
    <row r="6572" spans="2:9" ht="15" x14ac:dyDescent="0.25">
      <c r="B6572"/>
      <c r="C6572"/>
      <c r="D6572"/>
      <c r="E6572"/>
      <c r="F6572"/>
      <c r="G6572" s="20"/>
      <c r="H6572"/>
      <c r="I6572"/>
    </row>
    <row r="6573" spans="2:9" ht="15" x14ac:dyDescent="0.25">
      <c r="B6573"/>
      <c r="C6573"/>
      <c r="D6573"/>
      <c r="E6573"/>
      <c r="F6573"/>
      <c r="G6573" s="20"/>
      <c r="H6573"/>
      <c r="I6573"/>
    </row>
    <row r="6574" spans="2:9" ht="15" x14ac:dyDescent="0.25">
      <c r="B6574"/>
      <c r="C6574"/>
      <c r="D6574"/>
      <c r="E6574"/>
      <c r="F6574"/>
      <c r="G6574" s="20"/>
      <c r="H6574"/>
      <c r="I6574"/>
    </row>
    <row r="6575" spans="2:9" ht="15" x14ac:dyDescent="0.25">
      <c r="B6575"/>
      <c r="C6575"/>
      <c r="D6575"/>
      <c r="E6575"/>
      <c r="F6575"/>
      <c r="G6575" s="20"/>
      <c r="H6575"/>
      <c r="I6575"/>
    </row>
    <row r="6576" spans="2:9" ht="15" x14ac:dyDescent="0.25">
      <c r="B6576"/>
      <c r="C6576"/>
      <c r="D6576"/>
      <c r="E6576"/>
      <c r="F6576"/>
      <c r="G6576" s="20"/>
      <c r="H6576"/>
      <c r="I6576"/>
    </row>
    <row r="6577" spans="2:9" ht="15" x14ac:dyDescent="0.25">
      <c r="B6577"/>
      <c r="C6577"/>
      <c r="D6577"/>
      <c r="E6577"/>
      <c r="F6577"/>
      <c r="G6577" s="20"/>
      <c r="H6577"/>
      <c r="I6577"/>
    </row>
    <row r="6578" spans="2:9" ht="15" x14ac:dyDescent="0.25">
      <c r="B6578"/>
      <c r="C6578"/>
      <c r="D6578"/>
      <c r="E6578"/>
      <c r="F6578"/>
      <c r="G6578" s="20"/>
      <c r="H6578"/>
      <c r="I6578"/>
    </row>
    <row r="6579" spans="2:9" ht="15" x14ac:dyDescent="0.25">
      <c r="B6579"/>
      <c r="C6579"/>
      <c r="D6579"/>
      <c r="E6579"/>
      <c r="F6579"/>
      <c r="G6579" s="20"/>
      <c r="H6579"/>
      <c r="I6579"/>
    </row>
    <row r="6580" spans="2:9" ht="15" x14ac:dyDescent="0.25">
      <c r="B6580"/>
      <c r="C6580"/>
      <c r="D6580"/>
      <c r="E6580"/>
      <c r="F6580"/>
      <c r="G6580" s="20"/>
      <c r="H6580"/>
      <c r="I6580"/>
    </row>
    <row r="6581" spans="2:9" ht="15" x14ac:dyDescent="0.25">
      <c r="B6581"/>
      <c r="C6581"/>
      <c r="D6581"/>
      <c r="E6581"/>
      <c r="F6581"/>
      <c r="G6581" s="20"/>
      <c r="H6581"/>
      <c r="I6581"/>
    </row>
    <row r="6582" spans="2:9" ht="15" x14ac:dyDescent="0.25">
      <c r="B6582"/>
      <c r="C6582"/>
      <c r="D6582"/>
      <c r="E6582"/>
      <c r="F6582"/>
      <c r="G6582" s="20"/>
      <c r="H6582"/>
      <c r="I6582"/>
    </row>
    <row r="6583" spans="2:9" ht="15" x14ac:dyDescent="0.25">
      <c r="B6583"/>
      <c r="C6583"/>
      <c r="D6583"/>
      <c r="E6583"/>
      <c r="F6583"/>
      <c r="G6583" s="20"/>
      <c r="H6583"/>
      <c r="I6583"/>
    </row>
    <row r="6584" spans="2:9" ht="15" x14ac:dyDescent="0.25">
      <c r="B6584"/>
      <c r="C6584"/>
      <c r="D6584"/>
      <c r="E6584"/>
      <c r="F6584"/>
      <c r="G6584" s="20"/>
      <c r="H6584"/>
      <c r="I6584"/>
    </row>
    <row r="6585" spans="2:9" ht="15" x14ac:dyDescent="0.25">
      <c r="B6585"/>
      <c r="C6585"/>
      <c r="D6585"/>
      <c r="E6585"/>
      <c r="F6585"/>
      <c r="G6585" s="20"/>
      <c r="H6585"/>
      <c r="I6585"/>
    </row>
    <row r="6586" spans="2:9" ht="15" x14ac:dyDescent="0.25">
      <c r="B6586"/>
      <c r="C6586"/>
      <c r="D6586"/>
      <c r="E6586"/>
      <c r="F6586"/>
      <c r="G6586" s="20"/>
      <c r="H6586"/>
      <c r="I6586"/>
    </row>
    <row r="6587" spans="2:9" ht="15" x14ac:dyDescent="0.25">
      <c r="B6587"/>
      <c r="C6587"/>
      <c r="D6587"/>
      <c r="E6587"/>
      <c r="F6587"/>
      <c r="G6587" s="20"/>
      <c r="H6587"/>
      <c r="I6587"/>
    </row>
    <row r="6588" spans="2:9" ht="15" x14ac:dyDescent="0.25">
      <c r="B6588"/>
      <c r="C6588"/>
      <c r="D6588"/>
      <c r="E6588"/>
      <c r="F6588"/>
      <c r="G6588" s="20"/>
      <c r="H6588"/>
      <c r="I6588"/>
    </row>
    <row r="6589" spans="2:9" ht="15" x14ac:dyDescent="0.25">
      <c r="B6589"/>
      <c r="C6589"/>
      <c r="D6589"/>
      <c r="E6589"/>
      <c r="F6589"/>
      <c r="G6589" s="20"/>
      <c r="H6589"/>
      <c r="I6589"/>
    </row>
    <row r="6590" spans="2:9" ht="15" x14ac:dyDescent="0.25">
      <c r="B6590"/>
      <c r="C6590"/>
      <c r="D6590"/>
      <c r="E6590"/>
      <c r="F6590"/>
      <c r="G6590" s="20"/>
      <c r="H6590"/>
      <c r="I6590"/>
    </row>
    <row r="6591" spans="2:9" ht="15" x14ac:dyDescent="0.25">
      <c r="B6591"/>
      <c r="C6591"/>
      <c r="D6591"/>
      <c r="E6591"/>
      <c r="F6591"/>
      <c r="G6591" s="20"/>
      <c r="H6591"/>
      <c r="I6591"/>
    </row>
    <row r="6592" spans="2:9" ht="15" x14ac:dyDescent="0.25">
      <c r="B6592"/>
      <c r="C6592"/>
      <c r="D6592"/>
      <c r="E6592"/>
      <c r="F6592"/>
      <c r="G6592" s="20"/>
      <c r="H6592"/>
      <c r="I6592"/>
    </row>
    <row r="6593" spans="2:9" ht="15" x14ac:dyDescent="0.25">
      <c r="B6593"/>
      <c r="C6593"/>
      <c r="D6593"/>
      <c r="E6593"/>
      <c r="F6593"/>
      <c r="G6593" s="20"/>
      <c r="H6593"/>
      <c r="I6593"/>
    </row>
    <row r="6594" spans="2:9" ht="15" x14ac:dyDescent="0.25">
      <c r="B6594"/>
      <c r="C6594"/>
      <c r="D6594"/>
      <c r="E6594"/>
      <c r="F6594"/>
      <c r="G6594" s="20"/>
      <c r="H6594"/>
      <c r="I6594"/>
    </row>
    <row r="6595" spans="2:9" ht="15" x14ac:dyDescent="0.25">
      <c r="B6595"/>
      <c r="C6595"/>
      <c r="D6595"/>
      <c r="E6595"/>
      <c r="F6595"/>
      <c r="G6595" s="20"/>
      <c r="H6595"/>
      <c r="I6595"/>
    </row>
    <row r="6596" spans="2:9" ht="15" x14ac:dyDescent="0.25">
      <c r="B6596"/>
      <c r="C6596"/>
      <c r="D6596"/>
      <c r="E6596"/>
      <c r="F6596"/>
      <c r="G6596" s="20"/>
      <c r="H6596"/>
      <c r="I6596"/>
    </row>
    <row r="6597" spans="2:9" ht="15" x14ac:dyDescent="0.25">
      <c r="B6597"/>
      <c r="C6597"/>
      <c r="D6597"/>
      <c r="E6597"/>
      <c r="F6597"/>
      <c r="G6597" s="20"/>
      <c r="H6597"/>
      <c r="I6597"/>
    </row>
    <row r="6598" spans="2:9" ht="15" x14ac:dyDescent="0.25">
      <c r="B6598"/>
      <c r="C6598"/>
      <c r="D6598"/>
      <c r="E6598"/>
      <c r="F6598"/>
      <c r="G6598" s="20"/>
      <c r="H6598"/>
      <c r="I6598"/>
    </row>
    <row r="6599" spans="2:9" ht="15" x14ac:dyDescent="0.25">
      <c r="B6599"/>
      <c r="C6599"/>
      <c r="D6599"/>
      <c r="E6599"/>
      <c r="F6599"/>
      <c r="G6599" s="20"/>
      <c r="H6599"/>
      <c r="I6599"/>
    </row>
    <row r="6600" spans="2:9" ht="15" x14ac:dyDescent="0.25">
      <c r="B6600"/>
      <c r="C6600"/>
      <c r="D6600"/>
      <c r="E6600"/>
      <c r="F6600"/>
      <c r="G6600" s="20"/>
      <c r="H6600"/>
      <c r="I6600"/>
    </row>
    <row r="6601" spans="2:9" ht="15" x14ac:dyDescent="0.25">
      <c r="B6601"/>
      <c r="C6601"/>
      <c r="D6601"/>
      <c r="E6601"/>
      <c r="F6601"/>
      <c r="G6601" s="20"/>
      <c r="H6601"/>
      <c r="I6601"/>
    </row>
    <row r="6602" spans="2:9" ht="15" x14ac:dyDescent="0.25">
      <c r="B6602"/>
      <c r="C6602"/>
      <c r="D6602"/>
      <c r="E6602"/>
      <c r="F6602"/>
      <c r="G6602" s="20"/>
      <c r="H6602"/>
      <c r="I6602"/>
    </row>
    <row r="6603" spans="2:9" ht="15" x14ac:dyDescent="0.25">
      <c r="B6603"/>
      <c r="C6603"/>
      <c r="D6603"/>
      <c r="E6603"/>
      <c r="F6603"/>
      <c r="G6603" s="20"/>
      <c r="H6603"/>
      <c r="I6603"/>
    </row>
    <row r="6604" spans="2:9" ht="15" x14ac:dyDescent="0.25">
      <c r="B6604"/>
      <c r="C6604"/>
      <c r="D6604"/>
      <c r="E6604"/>
      <c r="F6604"/>
      <c r="G6604" s="20"/>
      <c r="H6604"/>
      <c r="I6604"/>
    </row>
    <row r="6605" spans="2:9" ht="15" x14ac:dyDescent="0.25">
      <c r="B6605"/>
      <c r="C6605"/>
      <c r="D6605"/>
      <c r="E6605"/>
      <c r="F6605"/>
      <c r="G6605" s="20"/>
      <c r="H6605"/>
      <c r="I6605"/>
    </row>
    <row r="6606" spans="2:9" ht="15" x14ac:dyDescent="0.25">
      <c r="B6606"/>
      <c r="C6606"/>
      <c r="D6606"/>
      <c r="E6606"/>
      <c r="F6606"/>
      <c r="G6606" s="20"/>
      <c r="H6606"/>
      <c r="I6606"/>
    </row>
    <row r="6607" spans="2:9" ht="15" x14ac:dyDescent="0.25">
      <c r="B6607"/>
      <c r="C6607"/>
      <c r="D6607"/>
      <c r="E6607"/>
      <c r="F6607"/>
      <c r="G6607" s="20"/>
      <c r="H6607"/>
      <c r="I6607"/>
    </row>
    <row r="6608" spans="2:9" ht="15" x14ac:dyDescent="0.25">
      <c r="B6608"/>
      <c r="C6608"/>
      <c r="D6608"/>
      <c r="E6608"/>
      <c r="F6608"/>
      <c r="G6608" s="20"/>
      <c r="H6608"/>
      <c r="I6608"/>
    </row>
    <row r="6609" spans="2:9" ht="15" x14ac:dyDescent="0.25">
      <c r="B6609"/>
      <c r="C6609"/>
      <c r="D6609"/>
      <c r="E6609"/>
      <c r="F6609"/>
      <c r="G6609" s="20"/>
      <c r="H6609"/>
      <c r="I6609"/>
    </row>
    <row r="6610" spans="2:9" ht="15" x14ac:dyDescent="0.25">
      <c r="B6610"/>
      <c r="C6610"/>
      <c r="D6610"/>
      <c r="E6610"/>
      <c r="F6610"/>
      <c r="G6610" s="20"/>
      <c r="H6610"/>
      <c r="I6610"/>
    </row>
    <row r="6611" spans="2:9" ht="15" x14ac:dyDescent="0.25">
      <c r="B6611"/>
      <c r="C6611"/>
      <c r="D6611"/>
      <c r="E6611"/>
      <c r="F6611"/>
      <c r="G6611" s="20"/>
      <c r="H6611"/>
      <c r="I6611"/>
    </row>
    <row r="6612" spans="2:9" ht="15" x14ac:dyDescent="0.25">
      <c r="B6612"/>
      <c r="C6612"/>
      <c r="D6612"/>
      <c r="E6612"/>
      <c r="F6612"/>
      <c r="G6612" s="20"/>
      <c r="H6612"/>
      <c r="I6612"/>
    </row>
    <row r="6613" spans="2:9" ht="15" x14ac:dyDescent="0.25">
      <c r="B6613"/>
      <c r="C6613"/>
      <c r="D6613"/>
      <c r="E6613"/>
      <c r="F6613"/>
      <c r="G6613" s="20"/>
      <c r="H6613"/>
      <c r="I6613"/>
    </row>
    <row r="6614" spans="2:9" ht="15" x14ac:dyDescent="0.25">
      <c r="B6614"/>
      <c r="C6614"/>
      <c r="D6614"/>
      <c r="E6614"/>
      <c r="F6614"/>
      <c r="G6614" s="20"/>
      <c r="H6614"/>
      <c r="I6614"/>
    </row>
    <row r="6615" spans="2:9" ht="15" x14ac:dyDescent="0.25">
      <c r="B6615"/>
      <c r="C6615"/>
      <c r="D6615"/>
      <c r="E6615"/>
      <c r="F6615"/>
      <c r="G6615" s="20"/>
      <c r="H6615"/>
      <c r="I6615"/>
    </row>
    <row r="6616" spans="2:9" ht="15" x14ac:dyDescent="0.25">
      <c r="B6616"/>
      <c r="C6616"/>
      <c r="D6616"/>
      <c r="E6616"/>
      <c r="F6616"/>
      <c r="G6616" s="20"/>
      <c r="H6616"/>
      <c r="I6616"/>
    </row>
    <row r="6617" spans="2:9" ht="15" x14ac:dyDescent="0.25">
      <c r="B6617"/>
      <c r="C6617"/>
      <c r="D6617"/>
      <c r="E6617"/>
      <c r="F6617"/>
      <c r="G6617" s="20"/>
      <c r="H6617"/>
      <c r="I6617"/>
    </row>
    <row r="6618" spans="2:9" ht="15" x14ac:dyDescent="0.25">
      <c r="B6618"/>
      <c r="C6618"/>
      <c r="D6618"/>
      <c r="E6618"/>
      <c r="F6618"/>
      <c r="G6618" s="20"/>
      <c r="H6618"/>
      <c r="I6618"/>
    </row>
    <row r="6619" spans="2:9" ht="15" x14ac:dyDescent="0.25">
      <c r="B6619"/>
      <c r="C6619"/>
      <c r="D6619"/>
      <c r="E6619"/>
      <c r="F6619"/>
      <c r="G6619" s="20"/>
      <c r="H6619"/>
      <c r="I6619"/>
    </row>
    <row r="6620" spans="2:9" ht="15" x14ac:dyDescent="0.25">
      <c r="B6620"/>
      <c r="C6620"/>
      <c r="D6620"/>
      <c r="E6620"/>
      <c r="F6620"/>
      <c r="G6620" s="20"/>
      <c r="H6620"/>
      <c r="I6620"/>
    </row>
    <row r="6621" spans="2:9" ht="15" x14ac:dyDescent="0.25">
      <c r="B6621"/>
      <c r="C6621"/>
      <c r="D6621"/>
      <c r="E6621"/>
      <c r="F6621"/>
      <c r="G6621" s="20"/>
      <c r="H6621"/>
      <c r="I6621"/>
    </row>
    <row r="6622" spans="2:9" ht="15" x14ac:dyDescent="0.25">
      <c r="B6622"/>
      <c r="C6622"/>
      <c r="D6622"/>
      <c r="E6622"/>
      <c r="F6622"/>
      <c r="G6622" s="20"/>
      <c r="H6622"/>
      <c r="I6622"/>
    </row>
    <row r="6623" spans="2:9" ht="15" x14ac:dyDescent="0.25">
      <c r="B6623"/>
      <c r="C6623"/>
      <c r="D6623"/>
      <c r="E6623"/>
      <c r="F6623"/>
      <c r="G6623" s="20"/>
      <c r="H6623"/>
      <c r="I6623"/>
    </row>
    <row r="6624" spans="2:9" ht="15" x14ac:dyDescent="0.25">
      <c r="B6624"/>
      <c r="C6624"/>
      <c r="D6624"/>
      <c r="E6624"/>
      <c r="F6624"/>
      <c r="G6624" s="20"/>
      <c r="H6624"/>
      <c r="I6624"/>
    </row>
    <row r="6625" spans="2:9" ht="15" x14ac:dyDescent="0.25">
      <c r="B6625"/>
      <c r="C6625"/>
      <c r="D6625"/>
      <c r="E6625"/>
      <c r="F6625"/>
      <c r="G6625" s="20"/>
      <c r="H6625"/>
      <c r="I6625"/>
    </row>
    <row r="6626" spans="2:9" ht="15" x14ac:dyDescent="0.25">
      <c r="B6626"/>
      <c r="C6626"/>
      <c r="D6626"/>
      <c r="E6626"/>
      <c r="F6626"/>
      <c r="G6626" s="20"/>
      <c r="H6626"/>
      <c r="I6626"/>
    </row>
    <row r="6627" spans="2:9" ht="15" x14ac:dyDescent="0.25">
      <c r="B6627"/>
      <c r="C6627"/>
      <c r="D6627"/>
      <c r="E6627"/>
      <c r="F6627"/>
      <c r="G6627" s="20"/>
      <c r="H6627"/>
      <c r="I6627"/>
    </row>
    <row r="6628" spans="2:9" ht="15" x14ac:dyDescent="0.25">
      <c r="B6628"/>
      <c r="C6628"/>
      <c r="D6628"/>
      <c r="E6628"/>
      <c r="F6628"/>
      <c r="G6628" s="20"/>
      <c r="H6628"/>
      <c r="I6628"/>
    </row>
    <row r="6629" spans="2:9" ht="15" x14ac:dyDescent="0.25">
      <c r="B6629"/>
      <c r="C6629"/>
      <c r="D6629"/>
      <c r="E6629"/>
      <c r="F6629"/>
      <c r="G6629" s="20"/>
      <c r="H6629"/>
      <c r="I6629"/>
    </row>
    <row r="6630" spans="2:9" ht="15" x14ac:dyDescent="0.25">
      <c r="B6630"/>
      <c r="C6630"/>
      <c r="D6630"/>
      <c r="E6630"/>
      <c r="F6630"/>
      <c r="G6630" s="20"/>
      <c r="H6630"/>
      <c r="I6630"/>
    </row>
    <row r="6631" spans="2:9" ht="15" x14ac:dyDescent="0.25">
      <c r="B6631"/>
      <c r="C6631"/>
      <c r="D6631"/>
      <c r="E6631"/>
      <c r="F6631"/>
      <c r="G6631" s="20"/>
      <c r="H6631"/>
      <c r="I6631"/>
    </row>
    <row r="6632" spans="2:9" ht="15" x14ac:dyDescent="0.25">
      <c r="B6632"/>
      <c r="C6632"/>
      <c r="D6632"/>
      <c r="E6632"/>
      <c r="F6632"/>
      <c r="G6632" s="20"/>
      <c r="H6632"/>
      <c r="I6632"/>
    </row>
    <row r="6633" spans="2:9" ht="15" x14ac:dyDescent="0.25">
      <c r="B6633"/>
      <c r="C6633"/>
      <c r="D6633"/>
      <c r="E6633"/>
      <c r="F6633"/>
      <c r="G6633" s="20"/>
      <c r="H6633"/>
      <c r="I6633"/>
    </row>
    <row r="6634" spans="2:9" ht="15" x14ac:dyDescent="0.25">
      <c r="B6634"/>
      <c r="C6634"/>
      <c r="D6634"/>
      <c r="E6634"/>
      <c r="F6634"/>
      <c r="G6634" s="20"/>
      <c r="H6634"/>
      <c r="I6634"/>
    </row>
    <row r="6635" spans="2:9" ht="15" x14ac:dyDescent="0.25">
      <c r="B6635"/>
      <c r="C6635"/>
      <c r="D6635"/>
      <c r="E6635"/>
      <c r="F6635"/>
      <c r="G6635" s="20"/>
      <c r="H6635"/>
      <c r="I6635"/>
    </row>
    <row r="6636" spans="2:9" ht="15" x14ac:dyDescent="0.25">
      <c r="B6636"/>
      <c r="C6636"/>
      <c r="D6636"/>
      <c r="E6636"/>
      <c r="F6636"/>
      <c r="G6636" s="20"/>
      <c r="H6636"/>
      <c r="I6636"/>
    </row>
    <row r="6637" spans="2:9" ht="15" x14ac:dyDescent="0.25">
      <c r="B6637"/>
      <c r="C6637"/>
      <c r="D6637"/>
      <c r="E6637"/>
      <c r="F6637"/>
      <c r="G6637" s="20"/>
      <c r="H6637"/>
      <c r="I6637"/>
    </row>
    <row r="6638" spans="2:9" ht="15" x14ac:dyDescent="0.25">
      <c r="B6638"/>
      <c r="C6638"/>
      <c r="D6638"/>
      <c r="E6638"/>
      <c r="F6638"/>
      <c r="G6638" s="20"/>
      <c r="H6638"/>
      <c r="I6638"/>
    </row>
    <row r="6639" spans="2:9" ht="15" x14ac:dyDescent="0.25">
      <c r="B6639"/>
      <c r="C6639"/>
      <c r="D6639"/>
      <c r="E6639"/>
      <c r="F6639"/>
      <c r="G6639" s="20"/>
      <c r="H6639"/>
      <c r="I6639"/>
    </row>
    <row r="6640" spans="2:9" ht="15" x14ac:dyDescent="0.25">
      <c r="B6640"/>
      <c r="C6640"/>
      <c r="D6640"/>
      <c r="E6640"/>
      <c r="F6640"/>
      <c r="G6640" s="20"/>
      <c r="H6640"/>
      <c r="I6640"/>
    </row>
    <row r="6641" spans="2:9" ht="15" x14ac:dyDescent="0.25">
      <c r="B6641"/>
      <c r="C6641"/>
      <c r="D6641"/>
      <c r="E6641"/>
      <c r="F6641"/>
      <c r="G6641" s="20"/>
      <c r="H6641"/>
      <c r="I6641"/>
    </row>
    <row r="6642" spans="2:9" ht="15" x14ac:dyDescent="0.25">
      <c r="B6642"/>
      <c r="C6642"/>
      <c r="D6642"/>
      <c r="E6642"/>
      <c r="F6642"/>
      <c r="G6642" s="20"/>
      <c r="H6642"/>
      <c r="I6642"/>
    </row>
    <row r="6643" spans="2:9" ht="15" x14ac:dyDescent="0.25">
      <c r="B6643"/>
      <c r="C6643"/>
      <c r="D6643"/>
      <c r="E6643"/>
      <c r="F6643"/>
      <c r="G6643" s="20"/>
      <c r="H6643"/>
      <c r="I6643"/>
    </row>
    <row r="6644" spans="2:9" ht="15" x14ac:dyDescent="0.25">
      <c r="B6644"/>
      <c r="C6644"/>
      <c r="D6644"/>
      <c r="E6644"/>
      <c r="F6644"/>
      <c r="G6644" s="20"/>
      <c r="H6644"/>
      <c r="I6644"/>
    </row>
    <row r="6645" spans="2:9" ht="15" x14ac:dyDescent="0.25">
      <c r="B6645"/>
      <c r="C6645"/>
      <c r="D6645"/>
      <c r="E6645"/>
      <c r="F6645"/>
      <c r="G6645" s="20"/>
      <c r="H6645"/>
      <c r="I6645"/>
    </row>
    <row r="6646" spans="2:9" ht="15" x14ac:dyDescent="0.25">
      <c r="B6646"/>
      <c r="C6646"/>
      <c r="D6646"/>
      <c r="E6646"/>
      <c r="F6646"/>
      <c r="G6646" s="20"/>
      <c r="H6646"/>
      <c r="I6646"/>
    </row>
    <row r="6647" spans="2:9" ht="15" x14ac:dyDescent="0.25">
      <c r="B6647"/>
      <c r="C6647"/>
      <c r="D6647"/>
      <c r="E6647"/>
      <c r="F6647"/>
      <c r="G6647" s="20"/>
      <c r="H6647"/>
      <c r="I6647"/>
    </row>
    <row r="6648" spans="2:9" ht="15" x14ac:dyDescent="0.25">
      <c r="B6648"/>
      <c r="C6648"/>
      <c r="D6648"/>
      <c r="E6648"/>
      <c r="F6648"/>
      <c r="G6648" s="20"/>
      <c r="H6648"/>
      <c r="I6648"/>
    </row>
    <row r="6649" spans="2:9" ht="15" x14ac:dyDescent="0.25">
      <c r="B6649"/>
      <c r="C6649"/>
      <c r="D6649"/>
      <c r="E6649"/>
      <c r="F6649"/>
      <c r="G6649" s="20"/>
      <c r="H6649"/>
      <c r="I6649"/>
    </row>
    <row r="6650" spans="2:9" ht="15" x14ac:dyDescent="0.25">
      <c r="B6650"/>
      <c r="C6650"/>
      <c r="D6650"/>
      <c r="E6650"/>
      <c r="F6650"/>
      <c r="G6650" s="20"/>
      <c r="H6650"/>
      <c r="I6650"/>
    </row>
    <row r="6651" spans="2:9" ht="15" x14ac:dyDescent="0.25">
      <c r="B6651"/>
      <c r="C6651"/>
      <c r="D6651"/>
      <c r="E6651"/>
      <c r="F6651"/>
      <c r="G6651" s="20"/>
      <c r="H6651"/>
      <c r="I6651"/>
    </row>
    <row r="6652" spans="2:9" ht="15" x14ac:dyDescent="0.25">
      <c r="B6652"/>
      <c r="C6652"/>
      <c r="D6652"/>
      <c r="E6652"/>
      <c r="F6652"/>
      <c r="G6652" s="20"/>
      <c r="H6652"/>
      <c r="I6652"/>
    </row>
    <row r="6653" spans="2:9" ht="15" x14ac:dyDescent="0.25">
      <c r="B6653"/>
      <c r="C6653"/>
      <c r="D6653"/>
      <c r="E6653"/>
      <c r="F6653"/>
      <c r="G6653" s="20"/>
      <c r="H6653"/>
      <c r="I6653"/>
    </row>
    <row r="6654" spans="2:9" ht="15" x14ac:dyDescent="0.25">
      <c r="B6654"/>
      <c r="C6654"/>
      <c r="D6654"/>
      <c r="E6654"/>
      <c r="F6654"/>
      <c r="G6654" s="20"/>
      <c r="H6654"/>
      <c r="I6654"/>
    </row>
    <row r="6655" spans="2:9" ht="15" x14ac:dyDescent="0.25">
      <c r="B6655"/>
      <c r="C6655"/>
      <c r="D6655"/>
      <c r="E6655"/>
      <c r="F6655"/>
      <c r="G6655" s="20"/>
      <c r="H6655"/>
      <c r="I6655"/>
    </row>
    <row r="6656" spans="2:9" ht="15" x14ac:dyDescent="0.25">
      <c r="B6656"/>
      <c r="C6656"/>
      <c r="D6656"/>
      <c r="E6656"/>
      <c r="F6656"/>
      <c r="G6656" s="20"/>
      <c r="H6656"/>
      <c r="I6656"/>
    </row>
    <row r="6657" spans="2:9" ht="15" x14ac:dyDescent="0.25">
      <c r="B6657"/>
      <c r="C6657"/>
      <c r="D6657"/>
      <c r="E6657"/>
      <c r="F6657"/>
      <c r="G6657" s="20"/>
      <c r="H6657"/>
      <c r="I6657"/>
    </row>
    <row r="6658" spans="2:9" ht="15" x14ac:dyDescent="0.25">
      <c r="B6658"/>
      <c r="C6658"/>
      <c r="D6658"/>
      <c r="E6658"/>
      <c r="F6658"/>
      <c r="G6658" s="20"/>
      <c r="H6658"/>
      <c r="I6658"/>
    </row>
    <row r="6659" spans="2:9" ht="15" x14ac:dyDescent="0.25">
      <c r="B6659"/>
      <c r="C6659"/>
      <c r="D6659"/>
      <c r="E6659"/>
      <c r="F6659"/>
      <c r="G6659" s="20"/>
      <c r="H6659"/>
      <c r="I6659"/>
    </row>
    <row r="6660" spans="2:9" ht="15" x14ac:dyDescent="0.25">
      <c r="B6660"/>
      <c r="C6660"/>
      <c r="D6660"/>
      <c r="E6660"/>
      <c r="F6660"/>
      <c r="G6660" s="20"/>
      <c r="H6660"/>
      <c r="I6660"/>
    </row>
    <row r="6661" spans="2:9" ht="15" x14ac:dyDescent="0.25">
      <c r="B6661"/>
      <c r="C6661"/>
      <c r="D6661"/>
      <c r="E6661"/>
      <c r="F6661"/>
      <c r="G6661" s="20"/>
      <c r="H6661"/>
      <c r="I6661"/>
    </row>
    <row r="6662" spans="2:9" ht="15" x14ac:dyDescent="0.25">
      <c r="B6662"/>
      <c r="C6662"/>
      <c r="D6662"/>
      <c r="E6662"/>
      <c r="F6662"/>
      <c r="G6662" s="20"/>
      <c r="H6662"/>
      <c r="I6662"/>
    </row>
    <row r="6663" spans="2:9" ht="15" x14ac:dyDescent="0.25">
      <c r="B6663"/>
      <c r="C6663"/>
      <c r="D6663"/>
      <c r="E6663"/>
      <c r="F6663"/>
      <c r="G6663" s="20"/>
      <c r="H6663"/>
      <c r="I6663"/>
    </row>
    <row r="6664" spans="2:9" ht="15" x14ac:dyDescent="0.25">
      <c r="B6664"/>
      <c r="C6664"/>
      <c r="D6664"/>
      <c r="E6664"/>
      <c r="F6664"/>
      <c r="G6664" s="20"/>
      <c r="H6664"/>
      <c r="I6664"/>
    </row>
    <row r="6665" spans="2:9" ht="15" x14ac:dyDescent="0.25">
      <c r="B6665"/>
      <c r="C6665"/>
      <c r="D6665"/>
      <c r="E6665"/>
      <c r="F6665"/>
      <c r="G6665" s="20"/>
      <c r="H6665"/>
      <c r="I6665"/>
    </row>
    <row r="6666" spans="2:9" ht="15" x14ac:dyDescent="0.25">
      <c r="B6666"/>
      <c r="C6666"/>
      <c r="D6666"/>
      <c r="E6666"/>
      <c r="F6666"/>
      <c r="G6666" s="20"/>
      <c r="H6666"/>
      <c r="I6666"/>
    </row>
    <row r="6667" spans="2:9" ht="15" x14ac:dyDescent="0.25">
      <c r="B6667"/>
      <c r="C6667"/>
      <c r="D6667"/>
      <c r="E6667"/>
      <c r="F6667"/>
      <c r="G6667" s="20"/>
      <c r="H6667"/>
      <c r="I6667"/>
    </row>
    <row r="6668" spans="2:9" ht="15" x14ac:dyDescent="0.25">
      <c r="B6668"/>
      <c r="C6668"/>
      <c r="D6668"/>
      <c r="E6668"/>
      <c r="F6668"/>
      <c r="G6668" s="20"/>
      <c r="H6668"/>
      <c r="I6668"/>
    </row>
    <row r="6669" spans="2:9" ht="15" x14ac:dyDescent="0.25">
      <c r="B6669"/>
      <c r="C6669"/>
      <c r="D6669"/>
      <c r="E6669"/>
      <c r="F6669"/>
      <c r="G6669" s="20"/>
      <c r="H6669"/>
      <c r="I6669"/>
    </row>
    <row r="6670" spans="2:9" ht="15" x14ac:dyDescent="0.25">
      <c r="B6670"/>
      <c r="C6670"/>
      <c r="D6670"/>
      <c r="E6670"/>
      <c r="F6670"/>
      <c r="G6670" s="20"/>
      <c r="H6670"/>
      <c r="I6670"/>
    </row>
    <row r="6671" spans="2:9" ht="15" x14ac:dyDescent="0.25">
      <c r="B6671"/>
      <c r="C6671"/>
      <c r="D6671"/>
      <c r="E6671"/>
      <c r="F6671"/>
      <c r="G6671" s="20"/>
      <c r="H6671"/>
      <c r="I6671"/>
    </row>
    <row r="6672" spans="2:9" ht="15" x14ac:dyDescent="0.25">
      <c r="B6672"/>
      <c r="C6672"/>
      <c r="D6672"/>
      <c r="E6672"/>
      <c r="F6672"/>
      <c r="G6672" s="20"/>
      <c r="H6672"/>
      <c r="I6672"/>
    </row>
    <row r="6673" spans="2:9" ht="15" x14ac:dyDescent="0.25">
      <c r="B6673"/>
      <c r="C6673"/>
      <c r="D6673"/>
      <c r="E6673"/>
      <c r="F6673"/>
      <c r="G6673" s="20"/>
      <c r="H6673"/>
      <c r="I6673"/>
    </row>
    <row r="6674" spans="2:9" ht="15" x14ac:dyDescent="0.25">
      <c r="B6674"/>
      <c r="C6674"/>
      <c r="D6674"/>
      <c r="E6674"/>
      <c r="F6674"/>
      <c r="G6674" s="20"/>
      <c r="H6674"/>
      <c r="I6674"/>
    </row>
    <row r="6675" spans="2:9" ht="15" x14ac:dyDescent="0.25">
      <c r="B6675"/>
      <c r="C6675"/>
      <c r="D6675"/>
      <c r="E6675"/>
      <c r="F6675"/>
      <c r="G6675" s="20"/>
      <c r="H6675"/>
      <c r="I6675"/>
    </row>
    <row r="6676" spans="2:9" ht="15" x14ac:dyDescent="0.25">
      <c r="B6676"/>
      <c r="C6676"/>
      <c r="D6676"/>
      <c r="E6676"/>
      <c r="F6676"/>
      <c r="G6676" s="20"/>
      <c r="H6676"/>
      <c r="I6676"/>
    </row>
    <row r="6677" spans="2:9" ht="15" x14ac:dyDescent="0.25">
      <c r="B6677"/>
      <c r="C6677"/>
      <c r="D6677"/>
      <c r="E6677"/>
      <c r="F6677"/>
      <c r="G6677" s="20"/>
      <c r="H6677"/>
      <c r="I6677"/>
    </row>
    <row r="6678" spans="2:9" ht="15" x14ac:dyDescent="0.25">
      <c r="B6678"/>
      <c r="C6678"/>
      <c r="D6678"/>
      <c r="E6678"/>
      <c r="F6678"/>
      <c r="G6678" s="20"/>
      <c r="H6678"/>
      <c r="I6678"/>
    </row>
    <row r="6679" spans="2:9" ht="15" x14ac:dyDescent="0.25">
      <c r="B6679"/>
      <c r="C6679"/>
      <c r="D6679"/>
      <c r="E6679"/>
      <c r="F6679"/>
      <c r="G6679" s="20"/>
      <c r="H6679"/>
      <c r="I6679"/>
    </row>
    <row r="6680" spans="2:9" ht="15" x14ac:dyDescent="0.25">
      <c r="B6680"/>
      <c r="C6680"/>
      <c r="D6680"/>
      <c r="E6680"/>
      <c r="F6680"/>
      <c r="G6680" s="20"/>
      <c r="H6680"/>
      <c r="I6680"/>
    </row>
    <row r="6681" spans="2:9" ht="15" x14ac:dyDescent="0.25">
      <c r="B6681"/>
      <c r="C6681"/>
      <c r="D6681"/>
      <c r="E6681"/>
      <c r="F6681"/>
      <c r="G6681" s="20"/>
      <c r="H6681"/>
      <c r="I6681"/>
    </row>
    <row r="6682" spans="2:9" ht="15" x14ac:dyDescent="0.25">
      <c r="B6682"/>
      <c r="C6682"/>
      <c r="D6682"/>
      <c r="E6682"/>
      <c r="F6682"/>
      <c r="G6682" s="20"/>
      <c r="H6682"/>
      <c r="I6682"/>
    </row>
    <row r="6683" spans="2:9" ht="15" x14ac:dyDescent="0.25">
      <c r="B6683"/>
      <c r="C6683"/>
      <c r="D6683"/>
      <c r="E6683"/>
      <c r="F6683"/>
      <c r="G6683" s="20"/>
      <c r="H6683"/>
      <c r="I6683"/>
    </row>
    <row r="6684" spans="2:9" ht="15" x14ac:dyDescent="0.25">
      <c r="B6684"/>
      <c r="C6684"/>
      <c r="D6684"/>
      <c r="E6684"/>
      <c r="F6684"/>
      <c r="G6684" s="20"/>
      <c r="H6684"/>
      <c r="I6684"/>
    </row>
    <row r="6685" spans="2:9" ht="15" x14ac:dyDescent="0.25">
      <c r="B6685"/>
      <c r="C6685"/>
      <c r="D6685"/>
      <c r="E6685"/>
      <c r="F6685"/>
      <c r="G6685" s="20"/>
      <c r="H6685"/>
      <c r="I6685"/>
    </row>
    <row r="6686" spans="2:9" ht="15" x14ac:dyDescent="0.25">
      <c r="B6686"/>
      <c r="C6686"/>
      <c r="D6686"/>
      <c r="E6686"/>
      <c r="F6686"/>
      <c r="G6686" s="20"/>
      <c r="H6686"/>
      <c r="I6686"/>
    </row>
    <row r="6687" spans="2:9" ht="15" x14ac:dyDescent="0.25">
      <c r="B6687"/>
      <c r="C6687"/>
      <c r="D6687"/>
      <c r="E6687"/>
      <c r="F6687"/>
      <c r="G6687" s="20"/>
      <c r="H6687"/>
      <c r="I6687"/>
    </row>
    <row r="6688" spans="2:9" ht="15" x14ac:dyDescent="0.25">
      <c r="B6688"/>
      <c r="C6688"/>
      <c r="D6688"/>
      <c r="E6688"/>
      <c r="F6688"/>
      <c r="G6688" s="20"/>
      <c r="H6688"/>
      <c r="I6688"/>
    </row>
    <row r="6689" spans="2:9" ht="15" x14ac:dyDescent="0.25">
      <c r="B6689"/>
      <c r="C6689"/>
      <c r="D6689"/>
      <c r="E6689"/>
      <c r="F6689"/>
      <c r="G6689" s="20"/>
      <c r="H6689"/>
      <c r="I6689"/>
    </row>
    <row r="6690" spans="2:9" ht="15" x14ac:dyDescent="0.25">
      <c r="B6690"/>
      <c r="C6690"/>
      <c r="D6690"/>
      <c r="E6690"/>
      <c r="F6690"/>
      <c r="G6690" s="20"/>
      <c r="H6690"/>
      <c r="I6690"/>
    </row>
    <row r="6691" spans="2:9" ht="15" x14ac:dyDescent="0.25">
      <c r="B6691"/>
      <c r="C6691"/>
      <c r="D6691"/>
      <c r="E6691"/>
      <c r="F6691"/>
      <c r="G6691" s="20"/>
      <c r="H6691"/>
      <c r="I6691"/>
    </row>
    <row r="6692" spans="2:9" ht="15" x14ac:dyDescent="0.25">
      <c r="B6692"/>
      <c r="C6692"/>
      <c r="D6692"/>
      <c r="E6692"/>
      <c r="F6692"/>
      <c r="G6692" s="20"/>
      <c r="H6692"/>
      <c r="I6692"/>
    </row>
    <row r="6693" spans="2:9" ht="15" x14ac:dyDescent="0.25">
      <c r="B6693"/>
      <c r="C6693"/>
      <c r="D6693"/>
      <c r="E6693"/>
      <c r="F6693"/>
      <c r="G6693" s="20"/>
      <c r="H6693"/>
      <c r="I6693"/>
    </row>
    <row r="6694" spans="2:9" ht="15" x14ac:dyDescent="0.25">
      <c r="B6694"/>
      <c r="C6694"/>
      <c r="D6694"/>
      <c r="E6694"/>
      <c r="F6694"/>
      <c r="G6694" s="20"/>
      <c r="H6694"/>
      <c r="I6694"/>
    </row>
    <row r="6695" spans="2:9" ht="15" x14ac:dyDescent="0.25">
      <c r="B6695"/>
      <c r="C6695"/>
      <c r="D6695"/>
      <c r="E6695"/>
      <c r="F6695"/>
      <c r="G6695" s="20"/>
      <c r="H6695"/>
      <c r="I6695"/>
    </row>
    <row r="6696" spans="2:9" ht="15" x14ac:dyDescent="0.25">
      <c r="B6696"/>
      <c r="C6696"/>
      <c r="D6696"/>
      <c r="E6696"/>
      <c r="F6696"/>
      <c r="G6696" s="20"/>
      <c r="H6696"/>
      <c r="I6696"/>
    </row>
    <row r="6697" spans="2:9" ht="15" x14ac:dyDescent="0.25">
      <c r="B6697"/>
      <c r="C6697"/>
      <c r="D6697"/>
      <c r="E6697"/>
      <c r="F6697"/>
      <c r="G6697" s="20"/>
      <c r="H6697"/>
      <c r="I6697"/>
    </row>
    <row r="6698" spans="2:9" ht="15" x14ac:dyDescent="0.25">
      <c r="B6698"/>
      <c r="C6698"/>
      <c r="D6698"/>
      <c r="E6698"/>
      <c r="F6698"/>
      <c r="G6698" s="20"/>
      <c r="H6698"/>
      <c r="I6698"/>
    </row>
    <row r="6699" spans="2:9" ht="15" x14ac:dyDescent="0.25">
      <c r="B6699"/>
      <c r="C6699"/>
      <c r="D6699"/>
      <c r="E6699"/>
      <c r="F6699"/>
      <c r="G6699" s="20"/>
      <c r="H6699"/>
      <c r="I6699"/>
    </row>
    <row r="6700" spans="2:9" ht="15" x14ac:dyDescent="0.25">
      <c r="B6700"/>
      <c r="C6700"/>
      <c r="D6700"/>
      <c r="E6700"/>
      <c r="F6700"/>
      <c r="G6700" s="20"/>
      <c r="H6700"/>
      <c r="I6700"/>
    </row>
    <row r="6701" spans="2:9" ht="15" x14ac:dyDescent="0.25">
      <c r="B6701"/>
      <c r="C6701"/>
      <c r="D6701"/>
      <c r="E6701"/>
      <c r="F6701"/>
      <c r="G6701" s="20"/>
      <c r="H6701"/>
      <c r="I6701"/>
    </row>
    <row r="6702" spans="2:9" ht="15" x14ac:dyDescent="0.25">
      <c r="B6702"/>
      <c r="C6702"/>
      <c r="D6702"/>
      <c r="E6702"/>
      <c r="F6702"/>
      <c r="G6702" s="20"/>
      <c r="H6702"/>
      <c r="I6702"/>
    </row>
    <row r="6703" spans="2:9" ht="15" x14ac:dyDescent="0.25">
      <c r="B6703"/>
      <c r="C6703"/>
      <c r="D6703"/>
      <c r="E6703"/>
      <c r="F6703"/>
      <c r="G6703" s="20"/>
      <c r="H6703"/>
      <c r="I6703"/>
    </row>
    <row r="6704" spans="2:9" ht="15" x14ac:dyDescent="0.25">
      <c r="B6704"/>
      <c r="C6704"/>
      <c r="D6704"/>
      <c r="E6704"/>
      <c r="F6704"/>
      <c r="G6704" s="20"/>
      <c r="H6704"/>
      <c r="I6704"/>
    </row>
    <row r="6705" spans="2:9" ht="15" x14ac:dyDescent="0.25">
      <c r="B6705"/>
      <c r="C6705"/>
      <c r="D6705"/>
      <c r="E6705"/>
      <c r="F6705"/>
      <c r="G6705" s="20"/>
      <c r="H6705"/>
      <c r="I6705"/>
    </row>
    <row r="6706" spans="2:9" ht="15" x14ac:dyDescent="0.25">
      <c r="B6706"/>
      <c r="C6706"/>
      <c r="D6706"/>
      <c r="E6706"/>
      <c r="F6706"/>
      <c r="G6706" s="20"/>
      <c r="H6706"/>
      <c r="I6706"/>
    </row>
    <row r="6707" spans="2:9" ht="15" x14ac:dyDescent="0.25">
      <c r="B6707"/>
      <c r="C6707"/>
      <c r="D6707"/>
      <c r="E6707"/>
      <c r="F6707"/>
      <c r="G6707" s="20"/>
      <c r="H6707"/>
      <c r="I6707"/>
    </row>
    <row r="6708" spans="2:9" ht="15" x14ac:dyDescent="0.25">
      <c r="B6708"/>
      <c r="C6708"/>
      <c r="D6708"/>
      <c r="E6708"/>
      <c r="F6708"/>
      <c r="G6708" s="20"/>
      <c r="H6708"/>
      <c r="I6708"/>
    </row>
    <row r="6709" spans="2:9" ht="15" x14ac:dyDescent="0.25">
      <c r="B6709"/>
      <c r="C6709"/>
      <c r="D6709"/>
      <c r="E6709"/>
      <c r="F6709"/>
      <c r="G6709" s="20"/>
      <c r="H6709"/>
      <c r="I6709"/>
    </row>
    <row r="6710" spans="2:9" ht="15" x14ac:dyDescent="0.25">
      <c r="B6710"/>
      <c r="C6710"/>
      <c r="D6710"/>
      <c r="E6710"/>
      <c r="F6710"/>
      <c r="G6710" s="20"/>
      <c r="H6710"/>
      <c r="I6710"/>
    </row>
    <row r="6711" spans="2:9" ht="15" x14ac:dyDescent="0.25">
      <c r="B6711"/>
      <c r="C6711"/>
      <c r="D6711"/>
      <c r="E6711"/>
      <c r="F6711"/>
      <c r="G6711" s="20"/>
      <c r="H6711"/>
      <c r="I6711"/>
    </row>
    <row r="6712" spans="2:9" ht="15" x14ac:dyDescent="0.25">
      <c r="B6712"/>
      <c r="C6712"/>
      <c r="D6712"/>
      <c r="E6712"/>
      <c r="F6712"/>
      <c r="G6712" s="20"/>
      <c r="H6712"/>
      <c r="I6712"/>
    </row>
    <row r="6713" spans="2:9" ht="15" x14ac:dyDescent="0.25">
      <c r="B6713"/>
      <c r="C6713"/>
      <c r="D6713"/>
      <c r="E6713"/>
      <c r="F6713"/>
      <c r="G6713" s="20"/>
      <c r="H6713"/>
      <c r="I6713"/>
    </row>
    <row r="6714" spans="2:9" ht="15" x14ac:dyDescent="0.25">
      <c r="B6714"/>
      <c r="C6714"/>
      <c r="D6714"/>
      <c r="E6714"/>
      <c r="F6714"/>
      <c r="G6714" s="20"/>
      <c r="H6714"/>
      <c r="I6714"/>
    </row>
    <row r="6715" spans="2:9" ht="15" x14ac:dyDescent="0.25">
      <c r="B6715"/>
      <c r="C6715"/>
      <c r="D6715"/>
      <c r="E6715"/>
      <c r="F6715"/>
      <c r="G6715" s="20"/>
      <c r="H6715"/>
      <c r="I6715"/>
    </row>
    <row r="6716" spans="2:9" ht="15" x14ac:dyDescent="0.25">
      <c r="B6716"/>
      <c r="C6716"/>
      <c r="D6716"/>
      <c r="E6716"/>
      <c r="F6716"/>
      <c r="G6716" s="20"/>
      <c r="H6716"/>
      <c r="I6716"/>
    </row>
    <row r="6717" spans="2:9" ht="15" x14ac:dyDescent="0.25">
      <c r="B6717"/>
      <c r="C6717"/>
      <c r="D6717"/>
      <c r="E6717"/>
      <c r="F6717"/>
      <c r="G6717" s="20"/>
      <c r="H6717"/>
      <c r="I6717"/>
    </row>
    <row r="6718" spans="2:9" ht="15" x14ac:dyDescent="0.25">
      <c r="B6718"/>
      <c r="C6718"/>
      <c r="D6718"/>
      <c r="E6718"/>
      <c r="F6718"/>
      <c r="G6718" s="20"/>
      <c r="H6718"/>
      <c r="I6718"/>
    </row>
    <row r="6719" spans="2:9" ht="15" x14ac:dyDescent="0.25">
      <c r="B6719"/>
      <c r="C6719"/>
      <c r="D6719"/>
      <c r="E6719"/>
      <c r="F6719"/>
      <c r="G6719" s="20"/>
      <c r="H6719"/>
      <c r="I6719"/>
    </row>
    <row r="6720" spans="2:9" ht="15" x14ac:dyDescent="0.25">
      <c r="B6720"/>
      <c r="C6720"/>
      <c r="D6720"/>
      <c r="E6720"/>
      <c r="F6720"/>
      <c r="G6720" s="20"/>
      <c r="H6720"/>
      <c r="I6720"/>
    </row>
    <row r="6721" spans="2:9" ht="15" x14ac:dyDescent="0.25">
      <c r="B6721"/>
      <c r="C6721"/>
      <c r="D6721"/>
      <c r="E6721"/>
      <c r="F6721"/>
      <c r="G6721" s="20"/>
      <c r="H6721"/>
      <c r="I6721"/>
    </row>
    <row r="6722" spans="2:9" ht="15" x14ac:dyDescent="0.25">
      <c r="B6722"/>
      <c r="C6722"/>
      <c r="D6722"/>
      <c r="E6722"/>
      <c r="F6722"/>
      <c r="G6722" s="20"/>
      <c r="H6722"/>
      <c r="I6722"/>
    </row>
    <row r="6723" spans="2:9" ht="15" x14ac:dyDescent="0.25">
      <c r="B6723"/>
      <c r="C6723"/>
      <c r="D6723"/>
      <c r="E6723"/>
      <c r="F6723"/>
      <c r="G6723" s="20"/>
      <c r="H6723"/>
      <c r="I6723"/>
    </row>
    <row r="6724" spans="2:9" ht="15" x14ac:dyDescent="0.25">
      <c r="B6724"/>
      <c r="C6724"/>
      <c r="D6724"/>
      <c r="E6724"/>
      <c r="F6724"/>
      <c r="G6724" s="20"/>
      <c r="H6724"/>
      <c r="I6724"/>
    </row>
    <row r="6725" spans="2:9" ht="15" x14ac:dyDescent="0.25">
      <c r="B6725"/>
      <c r="C6725"/>
      <c r="D6725"/>
      <c r="E6725"/>
      <c r="F6725"/>
      <c r="G6725" s="20"/>
      <c r="H6725"/>
      <c r="I6725"/>
    </row>
    <row r="6726" spans="2:9" ht="15" x14ac:dyDescent="0.25">
      <c r="B6726"/>
      <c r="C6726"/>
      <c r="D6726"/>
      <c r="E6726"/>
      <c r="F6726"/>
      <c r="G6726" s="20"/>
      <c r="H6726"/>
      <c r="I6726"/>
    </row>
    <row r="6727" spans="2:9" ht="15" x14ac:dyDescent="0.25">
      <c r="B6727"/>
      <c r="C6727"/>
      <c r="D6727"/>
      <c r="E6727"/>
      <c r="F6727"/>
      <c r="G6727" s="20"/>
      <c r="H6727"/>
      <c r="I6727"/>
    </row>
    <row r="6728" spans="2:9" ht="15" x14ac:dyDescent="0.25">
      <c r="B6728"/>
      <c r="C6728"/>
      <c r="D6728"/>
      <c r="E6728"/>
      <c r="F6728"/>
      <c r="G6728" s="20"/>
      <c r="H6728"/>
      <c r="I6728"/>
    </row>
    <row r="6729" spans="2:9" ht="15" x14ac:dyDescent="0.25">
      <c r="B6729"/>
      <c r="C6729"/>
      <c r="D6729"/>
      <c r="E6729"/>
      <c r="F6729"/>
      <c r="G6729" s="20"/>
      <c r="H6729"/>
      <c r="I6729"/>
    </row>
    <row r="6730" spans="2:9" ht="15" x14ac:dyDescent="0.25">
      <c r="B6730"/>
      <c r="C6730"/>
      <c r="D6730"/>
      <c r="E6730"/>
      <c r="F6730"/>
      <c r="G6730" s="20"/>
      <c r="H6730"/>
      <c r="I6730"/>
    </row>
    <row r="6731" spans="2:9" ht="15" x14ac:dyDescent="0.25">
      <c r="B6731"/>
      <c r="C6731"/>
      <c r="D6731"/>
      <c r="E6731"/>
      <c r="F6731"/>
      <c r="G6731" s="20"/>
      <c r="H6731"/>
      <c r="I6731"/>
    </row>
    <row r="6732" spans="2:9" ht="15" x14ac:dyDescent="0.25">
      <c r="B6732"/>
      <c r="C6732"/>
      <c r="D6732"/>
      <c r="E6732"/>
      <c r="F6732"/>
      <c r="G6732" s="20"/>
      <c r="H6732"/>
      <c r="I6732"/>
    </row>
    <row r="6733" spans="2:9" ht="15" x14ac:dyDescent="0.25">
      <c r="B6733"/>
      <c r="C6733"/>
      <c r="D6733"/>
      <c r="E6733"/>
      <c r="F6733"/>
      <c r="G6733" s="20"/>
      <c r="H6733"/>
      <c r="I6733"/>
    </row>
    <row r="6734" spans="2:9" ht="15" x14ac:dyDescent="0.25">
      <c r="B6734"/>
      <c r="C6734"/>
      <c r="D6734"/>
      <c r="E6734"/>
      <c r="F6734"/>
      <c r="G6734" s="20"/>
      <c r="H6734"/>
      <c r="I6734"/>
    </row>
    <row r="6735" spans="2:9" ht="15" x14ac:dyDescent="0.25">
      <c r="B6735"/>
      <c r="C6735"/>
      <c r="D6735"/>
      <c r="E6735"/>
      <c r="F6735"/>
      <c r="G6735" s="20"/>
      <c r="H6735"/>
      <c r="I6735"/>
    </row>
    <row r="6736" spans="2:9" ht="15" x14ac:dyDescent="0.25">
      <c r="B6736"/>
      <c r="C6736"/>
      <c r="D6736"/>
      <c r="E6736"/>
      <c r="F6736"/>
      <c r="G6736" s="20"/>
      <c r="H6736"/>
      <c r="I6736"/>
    </row>
    <row r="6737" spans="2:9" ht="15" x14ac:dyDescent="0.25">
      <c r="B6737"/>
      <c r="C6737"/>
      <c r="D6737"/>
      <c r="E6737"/>
      <c r="F6737"/>
      <c r="G6737" s="20"/>
      <c r="H6737"/>
      <c r="I6737"/>
    </row>
    <row r="6738" spans="2:9" ht="15" x14ac:dyDescent="0.25">
      <c r="B6738"/>
      <c r="C6738"/>
      <c r="D6738"/>
      <c r="E6738"/>
      <c r="F6738"/>
      <c r="G6738" s="20"/>
      <c r="H6738"/>
      <c r="I6738"/>
    </row>
    <row r="6739" spans="2:9" ht="15" x14ac:dyDescent="0.25">
      <c r="B6739"/>
      <c r="C6739"/>
      <c r="D6739"/>
      <c r="E6739"/>
      <c r="F6739"/>
      <c r="G6739" s="20"/>
      <c r="H6739"/>
      <c r="I6739"/>
    </row>
    <row r="6740" spans="2:9" ht="15" x14ac:dyDescent="0.25">
      <c r="B6740"/>
      <c r="C6740"/>
      <c r="D6740"/>
      <c r="E6740"/>
      <c r="F6740"/>
      <c r="G6740" s="20"/>
      <c r="H6740"/>
      <c r="I6740"/>
    </row>
    <row r="6741" spans="2:9" ht="15" x14ac:dyDescent="0.25">
      <c r="B6741"/>
      <c r="C6741"/>
      <c r="D6741"/>
      <c r="E6741"/>
      <c r="F6741"/>
      <c r="G6741" s="20"/>
      <c r="H6741"/>
      <c r="I6741"/>
    </row>
    <row r="6742" spans="2:9" ht="15" x14ac:dyDescent="0.25">
      <c r="B6742"/>
      <c r="C6742"/>
      <c r="D6742"/>
      <c r="E6742"/>
      <c r="F6742"/>
      <c r="G6742" s="20"/>
      <c r="H6742"/>
      <c r="I6742"/>
    </row>
    <row r="6743" spans="2:9" ht="15" x14ac:dyDescent="0.25">
      <c r="B6743"/>
      <c r="C6743"/>
      <c r="D6743"/>
      <c r="E6743"/>
      <c r="F6743"/>
      <c r="G6743" s="20"/>
      <c r="H6743"/>
      <c r="I6743"/>
    </row>
    <row r="6744" spans="2:9" ht="15" x14ac:dyDescent="0.25">
      <c r="B6744"/>
      <c r="C6744"/>
      <c r="D6744"/>
      <c r="E6744"/>
      <c r="F6744"/>
      <c r="G6744" s="20"/>
      <c r="H6744"/>
      <c r="I6744"/>
    </row>
    <row r="6745" spans="2:9" ht="15" x14ac:dyDescent="0.25">
      <c r="B6745"/>
      <c r="C6745"/>
      <c r="D6745"/>
      <c r="E6745"/>
      <c r="F6745"/>
      <c r="G6745" s="20"/>
      <c r="H6745"/>
      <c r="I6745"/>
    </row>
    <row r="6746" spans="2:9" ht="15" x14ac:dyDescent="0.25">
      <c r="B6746"/>
      <c r="C6746"/>
      <c r="D6746"/>
      <c r="E6746"/>
      <c r="F6746"/>
      <c r="G6746" s="20"/>
      <c r="H6746"/>
      <c r="I6746"/>
    </row>
    <row r="6747" spans="2:9" ht="15" x14ac:dyDescent="0.25">
      <c r="B6747"/>
      <c r="C6747"/>
      <c r="D6747"/>
      <c r="E6747"/>
      <c r="F6747"/>
      <c r="G6747" s="20"/>
      <c r="H6747"/>
      <c r="I6747"/>
    </row>
    <row r="6748" spans="2:9" ht="15" x14ac:dyDescent="0.25">
      <c r="B6748"/>
      <c r="C6748"/>
      <c r="D6748"/>
      <c r="E6748"/>
      <c r="F6748"/>
      <c r="G6748" s="20"/>
      <c r="H6748"/>
      <c r="I6748"/>
    </row>
    <row r="6749" spans="2:9" ht="15" x14ac:dyDescent="0.25">
      <c r="B6749"/>
      <c r="C6749"/>
      <c r="D6749"/>
      <c r="E6749"/>
      <c r="F6749"/>
      <c r="G6749" s="20"/>
      <c r="H6749"/>
      <c r="I6749"/>
    </row>
    <row r="6750" spans="2:9" ht="15" x14ac:dyDescent="0.25">
      <c r="B6750"/>
      <c r="C6750"/>
      <c r="D6750"/>
      <c r="E6750"/>
      <c r="F6750"/>
      <c r="G6750" s="20"/>
      <c r="H6750"/>
      <c r="I6750"/>
    </row>
    <row r="6751" spans="2:9" ht="15" x14ac:dyDescent="0.25">
      <c r="B6751"/>
      <c r="C6751"/>
      <c r="D6751"/>
      <c r="E6751"/>
      <c r="F6751"/>
      <c r="G6751" s="20"/>
      <c r="H6751"/>
      <c r="I6751"/>
    </row>
    <row r="6752" spans="2:9" ht="15" x14ac:dyDescent="0.25">
      <c r="B6752"/>
      <c r="C6752"/>
      <c r="D6752"/>
      <c r="E6752"/>
      <c r="F6752"/>
      <c r="G6752" s="20"/>
      <c r="H6752"/>
      <c r="I6752"/>
    </row>
    <row r="6753" spans="2:9" ht="15" x14ac:dyDescent="0.25">
      <c r="B6753"/>
      <c r="C6753"/>
      <c r="D6753"/>
      <c r="E6753"/>
      <c r="F6753"/>
      <c r="G6753" s="20"/>
      <c r="H6753"/>
      <c r="I6753"/>
    </row>
    <row r="6754" spans="2:9" ht="15" x14ac:dyDescent="0.25">
      <c r="B6754"/>
      <c r="C6754"/>
      <c r="D6754"/>
      <c r="E6754"/>
      <c r="F6754"/>
      <c r="G6754" s="20"/>
      <c r="H6754"/>
      <c r="I6754"/>
    </row>
    <row r="6755" spans="2:9" ht="15" x14ac:dyDescent="0.25">
      <c r="B6755"/>
      <c r="C6755"/>
      <c r="D6755"/>
      <c r="E6755"/>
      <c r="F6755"/>
      <c r="G6755" s="20"/>
      <c r="H6755"/>
      <c r="I6755"/>
    </row>
    <row r="6756" spans="2:9" ht="15" x14ac:dyDescent="0.25">
      <c r="B6756"/>
      <c r="C6756"/>
      <c r="D6756"/>
      <c r="E6756"/>
      <c r="F6756"/>
      <c r="G6756" s="20"/>
      <c r="H6756"/>
      <c r="I6756"/>
    </row>
    <row r="6757" spans="2:9" ht="15" x14ac:dyDescent="0.25">
      <c r="B6757"/>
      <c r="C6757"/>
      <c r="D6757"/>
      <c r="E6757"/>
      <c r="F6757"/>
      <c r="G6757" s="20"/>
      <c r="H6757"/>
      <c r="I6757"/>
    </row>
    <row r="6758" spans="2:9" ht="15" x14ac:dyDescent="0.25">
      <c r="B6758"/>
      <c r="C6758"/>
      <c r="D6758"/>
      <c r="E6758"/>
      <c r="F6758"/>
      <c r="G6758" s="20"/>
      <c r="H6758"/>
      <c r="I6758"/>
    </row>
    <row r="6759" spans="2:9" ht="15" x14ac:dyDescent="0.25">
      <c r="B6759"/>
      <c r="C6759"/>
      <c r="D6759"/>
      <c r="E6759"/>
      <c r="F6759"/>
      <c r="G6759" s="20"/>
      <c r="H6759"/>
      <c r="I6759"/>
    </row>
    <row r="6760" spans="2:9" ht="15" x14ac:dyDescent="0.25">
      <c r="B6760"/>
      <c r="C6760"/>
      <c r="D6760"/>
      <c r="E6760"/>
      <c r="F6760"/>
      <c r="G6760" s="20"/>
      <c r="H6760"/>
      <c r="I6760"/>
    </row>
    <row r="6761" spans="2:9" ht="15" x14ac:dyDescent="0.25">
      <c r="B6761"/>
      <c r="C6761"/>
      <c r="D6761"/>
      <c r="E6761"/>
      <c r="F6761"/>
      <c r="G6761" s="20"/>
      <c r="H6761"/>
      <c r="I6761"/>
    </row>
    <row r="6762" spans="2:9" ht="15" x14ac:dyDescent="0.25">
      <c r="B6762"/>
      <c r="C6762"/>
      <c r="D6762"/>
      <c r="E6762"/>
      <c r="F6762"/>
      <c r="G6762" s="20"/>
      <c r="H6762"/>
      <c r="I6762"/>
    </row>
    <row r="6763" spans="2:9" ht="15" x14ac:dyDescent="0.25">
      <c r="B6763"/>
      <c r="C6763"/>
      <c r="D6763"/>
      <c r="E6763"/>
      <c r="F6763"/>
      <c r="G6763" s="20"/>
      <c r="H6763"/>
      <c r="I6763"/>
    </row>
    <row r="6764" spans="2:9" ht="15" x14ac:dyDescent="0.25">
      <c r="B6764"/>
      <c r="C6764"/>
      <c r="D6764"/>
      <c r="E6764"/>
      <c r="F6764"/>
      <c r="G6764" s="20"/>
      <c r="H6764"/>
      <c r="I6764"/>
    </row>
    <row r="6765" spans="2:9" ht="15" x14ac:dyDescent="0.25">
      <c r="B6765"/>
      <c r="C6765"/>
      <c r="D6765"/>
      <c r="E6765"/>
      <c r="F6765"/>
      <c r="G6765" s="20"/>
      <c r="H6765"/>
      <c r="I6765"/>
    </row>
    <row r="6766" spans="2:9" ht="15" x14ac:dyDescent="0.25">
      <c r="B6766"/>
      <c r="C6766"/>
      <c r="D6766"/>
      <c r="E6766"/>
      <c r="F6766"/>
      <c r="G6766" s="20"/>
      <c r="H6766"/>
      <c r="I6766"/>
    </row>
    <row r="6767" spans="2:9" ht="15" x14ac:dyDescent="0.25">
      <c r="B6767"/>
      <c r="C6767"/>
      <c r="D6767"/>
      <c r="E6767"/>
      <c r="F6767"/>
      <c r="G6767" s="20"/>
      <c r="H6767"/>
      <c r="I6767"/>
    </row>
    <row r="6768" spans="2:9" ht="15" x14ac:dyDescent="0.25">
      <c r="B6768"/>
      <c r="C6768"/>
      <c r="D6768"/>
      <c r="E6768"/>
      <c r="F6768"/>
      <c r="G6768" s="20"/>
      <c r="H6768"/>
      <c r="I6768"/>
    </row>
    <row r="6769" spans="2:9" ht="15" x14ac:dyDescent="0.25">
      <c r="B6769"/>
      <c r="C6769"/>
      <c r="D6769"/>
      <c r="E6769"/>
      <c r="F6769"/>
      <c r="G6769" s="20"/>
      <c r="H6769"/>
      <c r="I6769"/>
    </row>
    <row r="6770" spans="2:9" ht="15" x14ac:dyDescent="0.25">
      <c r="B6770"/>
      <c r="C6770"/>
      <c r="D6770"/>
      <c r="E6770"/>
      <c r="F6770"/>
      <c r="G6770" s="20"/>
      <c r="H6770"/>
      <c r="I6770"/>
    </row>
    <row r="6771" spans="2:9" ht="15" x14ac:dyDescent="0.25">
      <c r="B6771"/>
      <c r="C6771"/>
      <c r="D6771"/>
      <c r="E6771"/>
      <c r="F6771"/>
      <c r="G6771" s="20"/>
      <c r="H6771"/>
      <c r="I6771"/>
    </row>
    <row r="6772" spans="2:9" ht="15" x14ac:dyDescent="0.25">
      <c r="B6772"/>
      <c r="C6772"/>
      <c r="D6772"/>
      <c r="E6772"/>
      <c r="F6772"/>
      <c r="G6772" s="20"/>
      <c r="H6772"/>
      <c r="I6772"/>
    </row>
    <row r="6773" spans="2:9" ht="15" x14ac:dyDescent="0.25">
      <c r="B6773"/>
      <c r="C6773"/>
      <c r="D6773"/>
      <c r="E6773"/>
      <c r="F6773"/>
      <c r="G6773" s="20"/>
      <c r="H6773"/>
      <c r="I6773"/>
    </row>
    <row r="6774" spans="2:9" ht="15" x14ac:dyDescent="0.25">
      <c r="B6774"/>
      <c r="C6774"/>
      <c r="D6774"/>
      <c r="E6774"/>
      <c r="F6774"/>
      <c r="G6774" s="20"/>
      <c r="H6774"/>
      <c r="I6774"/>
    </row>
    <row r="6775" spans="2:9" ht="15" x14ac:dyDescent="0.25">
      <c r="B6775"/>
      <c r="C6775"/>
      <c r="D6775"/>
      <c r="E6775"/>
      <c r="F6775"/>
      <c r="G6775" s="20"/>
      <c r="H6775"/>
      <c r="I6775"/>
    </row>
    <row r="6776" spans="2:9" ht="15" x14ac:dyDescent="0.25">
      <c r="B6776"/>
      <c r="C6776"/>
      <c r="D6776"/>
      <c r="E6776"/>
      <c r="F6776"/>
      <c r="G6776" s="20"/>
      <c r="H6776"/>
      <c r="I6776"/>
    </row>
    <row r="6777" spans="2:9" ht="15" x14ac:dyDescent="0.25">
      <c r="B6777"/>
      <c r="C6777"/>
      <c r="D6777"/>
      <c r="E6777"/>
      <c r="F6777"/>
      <c r="G6777" s="20"/>
      <c r="H6777"/>
      <c r="I6777"/>
    </row>
    <row r="6778" spans="2:9" ht="15" x14ac:dyDescent="0.25">
      <c r="B6778"/>
      <c r="C6778"/>
      <c r="D6778"/>
      <c r="E6778"/>
      <c r="F6778"/>
      <c r="G6778" s="20"/>
      <c r="H6778"/>
      <c r="I6778"/>
    </row>
    <row r="6779" spans="2:9" ht="15" x14ac:dyDescent="0.25">
      <c r="B6779"/>
      <c r="C6779"/>
      <c r="D6779"/>
      <c r="E6779"/>
      <c r="F6779"/>
      <c r="G6779" s="20"/>
      <c r="H6779"/>
      <c r="I6779"/>
    </row>
    <row r="6780" spans="2:9" ht="15" x14ac:dyDescent="0.25">
      <c r="B6780"/>
      <c r="C6780"/>
      <c r="D6780"/>
      <c r="E6780"/>
      <c r="F6780"/>
      <c r="G6780" s="20"/>
      <c r="H6780"/>
      <c r="I6780"/>
    </row>
    <row r="6781" spans="2:9" ht="15" x14ac:dyDescent="0.25">
      <c r="B6781"/>
      <c r="C6781"/>
      <c r="D6781"/>
      <c r="E6781"/>
      <c r="F6781"/>
      <c r="G6781" s="20"/>
      <c r="H6781"/>
      <c r="I6781"/>
    </row>
    <row r="6782" spans="2:9" ht="15" x14ac:dyDescent="0.25">
      <c r="B6782"/>
      <c r="C6782"/>
      <c r="D6782"/>
      <c r="E6782"/>
      <c r="F6782"/>
      <c r="G6782" s="20"/>
      <c r="H6782"/>
      <c r="I6782"/>
    </row>
    <row r="6783" spans="2:9" ht="15" x14ac:dyDescent="0.25">
      <c r="B6783"/>
      <c r="C6783"/>
      <c r="D6783"/>
      <c r="E6783"/>
      <c r="F6783"/>
      <c r="G6783" s="20"/>
      <c r="H6783"/>
      <c r="I6783"/>
    </row>
    <row r="6784" spans="2:9" ht="15" x14ac:dyDescent="0.25">
      <c r="B6784"/>
      <c r="C6784"/>
      <c r="D6784"/>
      <c r="E6784"/>
      <c r="F6784"/>
      <c r="G6784" s="20"/>
      <c r="H6784"/>
      <c r="I6784"/>
    </row>
    <row r="6785" spans="2:9" ht="15" x14ac:dyDescent="0.25">
      <c r="B6785"/>
      <c r="C6785"/>
      <c r="D6785"/>
      <c r="E6785"/>
      <c r="F6785"/>
      <c r="G6785" s="20"/>
      <c r="H6785"/>
      <c r="I6785"/>
    </row>
    <row r="6786" spans="2:9" ht="15" x14ac:dyDescent="0.25">
      <c r="B6786"/>
      <c r="C6786"/>
      <c r="D6786"/>
      <c r="E6786"/>
      <c r="F6786"/>
      <c r="G6786" s="20"/>
      <c r="H6786"/>
      <c r="I6786"/>
    </row>
    <row r="6787" spans="2:9" ht="15" x14ac:dyDescent="0.25">
      <c r="B6787"/>
      <c r="C6787"/>
      <c r="D6787"/>
      <c r="E6787"/>
      <c r="F6787"/>
      <c r="G6787" s="20"/>
      <c r="H6787"/>
      <c r="I6787"/>
    </row>
    <row r="6788" spans="2:9" ht="15" x14ac:dyDescent="0.25">
      <c r="B6788"/>
      <c r="C6788"/>
      <c r="D6788"/>
      <c r="E6788"/>
      <c r="F6788"/>
      <c r="G6788" s="20"/>
      <c r="H6788"/>
      <c r="I6788"/>
    </row>
    <row r="6789" spans="2:9" ht="15" x14ac:dyDescent="0.25">
      <c r="B6789"/>
      <c r="C6789"/>
      <c r="D6789"/>
      <c r="E6789"/>
      <c r="F6789"/>
      <c r="G6789" s="20"/>
      <c r="H6789"/>
      <c r="I6789"/>
    </row>
    <row r="6790" spans="2:9" ht="15" x14ac:dyDescent="0.25">
      <c r="B6790"/>
      <c r="C6790"/>
      <c r="D6790"/>
      <c r="E6790"/>
      <c r="F6790"/>
      <c r="G6790" s="20"/>
      <c r="H6790"/>
      <c r="I6790"/>
    </row>
    <row r="6791" spans="2:9" ht="15" x14ac:dyDescent="0.25">
      <c r="B6791"/>
      <c r="C6791"/>
      <c r="D6791"/>
      <c r="E6791"/>
      <c r="F6791"/>
      <c r="G6791" s="20"/>
      <c r="H6791"/>
      <c r="I6791"/>
    </row>
    <row r="6792" spans="2:9" ht="15" x14ac:dyDescent="0.25">
      <c r="B6792"/>
      <c r="C6792"/>
      <c r="D6792"/>
      <c r="E6792"/>
      <c r="F6792"/>
      <c r="G6792" s="20"/>
      <c r="H6792"/>
      <c r="I6792"/>
    </row>
    <row r="6793" spans="2:9" ht="15" x14ac:dyDescent="0.25">
      <c r="B6793"/>
      <c r="C6793"/>
      <c r="D6793"/>
      <c r="E6793"/>
      <c r="F6793"/>
      <c r="G6793" s="20"/>
      <c r="H6793"/>
      <c r="I6793"/>
    </row>
    <row r="6794" spans="2:9" ht="15" x14ac:dyDescent="0.25">
      <c r="B6794"/>
      <c r="C6794"/>
      <c r="D6794"/>
      <c r="E6794"/>
      <c r="F6794"/>
      <c r="G6794" s="20"/>
      <c r="H6794"/>
      <c r="I6794"/>
    </row>
    <row r="6795" spans="2:9" ht="15" x14ac:dyDescent="0.25">
      <c r="B6795"/>
      <c r="C6795"/>
      <c r="D6795"/>
      <c r="E6795"/>
      <c r="F6795"/>
      <c r="G6795" s="20"/>
      <c r="H6795"/>
      <c r="I6795"/>
    </row>
    <row r="6796" spans="2:9" ht="15" x14ac:dyDescent="0.25">
      <c r="B6796"/>
      <c r="C6796"/>
      <c r="D6796"/>
      <c r="E6796"/>
      <c r="F6796"/>
      <c r="G6796" s="20"/>
      <c r="H6796"/>
      <c r="I6796"/>
    </row>
    <row r="6797" spans="2:9" ht="15" x14ac:dyDescent="0.25">
      <c r="B6797"/>
      <c r="C6797"/>
      <c r="D6797"/>
      <c r="E6797"/>
      <c r="F6797"/>
      <c r="G6797" s="20"/>
      <c r="H6797"/>
      <c r="I6797"/>
    </row>
    <row r="6798" spans="2:9" ht="15" x14ac:dyDescent="0.25">
      <c r="B6798"/>
      <c r="C6798"/>
      <c r="D6798"/>
      <c r="E6798"/>
      <c r="F6798"/>
      <c r="G6798" s="20"/>
      <c r="H6798"/>
      <c r="I6798"/>
    </row>
    <row r="6799" spans="2:9" ht="15" x14ac:dyDescent="0.25">
      <c r="B6799"/>
      <c r="C6799"/>
      <c r="D6799"/>
      <c r="E6799"/>
      <c r="F6799"/>
      <c r="G6799" s="20"/>
      <c r="H6799"/>
      <c r="I6799"/>
    </row>
    <row r="6800" spans="2:9" ht="15" x14ac:dyDescent="0.25">
      <c r="B6800"/>
      <c r="C6800"/>
      <c r="D6800"/>
      <c r="E6800"/>
      <c r="F6800"/>
      <c r="G6800" s="20"/>
      <c r="H6800"/>
      <c r="I6800"/>
    </row>
    <row r="6801" spans="2:9" ht="15" x14ac:dyDescent="0.25">
      <c r="B6801"/>
      <c r="C6801"/>
      <c r="D6801"/>
      <c r="E6801"/>
      <c r="F6801"/>
      <c r="G6801" s="20"/>
      <c r="H6801"/>
      <c r="I6801"/>
    </row>
    <row r="6802" spans="2:9" ht="15" x14ac:dyDescent="0.25">
      <c r="B6802"/>
      <c r="C6802"/>
      <c r="D6802"/>
      <c r="E6802"/>
      <c r="F6802"/>
      <c r="G6802" s="20"/>
      <c r="H6802"/>
      <c r="I6802"/>
    </row>
    <row r="6803" spans="2:9" ht="15" x14ac:dyDescent="0.25">
      <c r="B6803"/>
      <c r="C6803"/>
      <c r="D6803"/>
      <c r="E6803"/>
      <c r="F6803"/>
      <c r="G6803" s="20"/>
      <c r="H6803"/>
      <c r="I6803"/>
    </row>
    <row r="6804" spans="2:9" ht="15" x14ac:dyDescent="0.25">
      <c r="B6804"/>
      <c r="C6804"/>
      <c r="D6804"/>
      <c r="E6804"/>
      <c r="F6804"/>
      <c r="G6804" s="20"/>
      <c r="H6804"/>
      <c r="I6804"/>
    </row>
    <row r="6805" spans="2:9" ht="15" x14ac:dyDescent="0.25">
      <c r="B6805"/>
      <c r="C6805"/>
      <c r="D6805"/>
      <c r="E6805"/>
      <c r="F6805"/>
      <c r="G6805" s="20"/>
      <c r="H6805"/>
      <c r="I6805"/>
    </row>
    <row r="6806" spans="2:9" ht="15" x14ac:dyDescent="0.25">
      <c r="B6806"/>
      <c r="C6806"/>
      <c r="D6806"/>
      <c r="E6806"/>
      <c r="F6806"/>
      <c r="G6806" s="20"/>
      <c r="H6806"/>
      <c r="I6806"/>
    </row>
    <row r="6807" spans="2:9" ht="15" x14ac:dyDescent="0.25">
      <c r="B6807"/>
      <c r="C6807"/>
      <c r="D6807"/>
      <c r="E6807"/>
      <c r="F6807"/>
      <c r="G6807" s="20"/>
      <c r="H6807"/>
      <c r="I6807"/>
    </row>
    <row r="6808" spans="2:9" ht="15" x14ac:dyDescent="0.25">
      <c r="B6808"/>
      <c r="C6808"/>
      <c r="D6808"/>
      <c r="E6808"/>
      <c r="F6808"/>
      <c r="G6808" s="20"/>
      <c r="H6808"/>
      <c r="I6808"/>
    </row>
    <row r="6809" spans="2:9" ht="15" x14ac:dyDescent="0.25">
      <c r="B6809"/>
      <c r="C6809"/>
      <c r="D6809"/>
      <c r="E6809"/>
      <c r="F6809"/>
      <c r="G6809" s="20"/>
      <c r="H6809"/>
      <c r="I6809"/>
    </row>
    <row r="6810" spans="2:9" ht="15" x14ac:dyDescent="0.25">
      <c r="B6810"/>
      <c r="C6810"/>
      <c r="D6810"/>
      <c r="E6810"/>
      <c r="F6810"/>
      <c r="G6810" s="20"/>
      <c r="H6810"/>
      <c r="I6810"/>
    </row>
    <row r="6811" spans="2:9" ht="15" x14ac:dyDescent="0.25">
      <c r="B6811"/>
      <c r="C6811"/>
      <c r="D6811"/>
      <c r="E6811"/>
      <c r="F6811"/>
      <c r="G6811" s="20"/>
      <c r="H6811"/>
      <c r="I6811"/>
    </row>
    <row r="6812" spans="2:9" ht="15" x14ac:dyDescent="0.25">
      <c r="B6812"/>
      <c r="C6812"/>
      <c r="D6812"/>
      <c r="E6812"/>
      <c r="F6812"/>
      <c r="G6812" s="20"/>
      <c r="H6812"/>
      <c r="I6812"/>
    </row>
    <row r="6813" spans="2:9" ht="15" x14ac:dyDescent="0.25">
      <c r="B6813"/>
      <c r="C6813"/>
      <c r="D6813"/>
      <c r="E6813"/>
      <c r="F6813"/>
      <c r="G6813" s="20"/>
      <c r="H6813"/>
      <c r="I6813"/>
    </row>
    <row r="6814" spans="2:9" ht="15" x14ac:dyDescent="0.25">
      <c r="B6814"/>
      <c r="C6814"/>
      <c r="D6814"/>
      <c r="E6814"/>
      <c r="F6814"/>
      <c r="G6814" s="20"/>
      <c r="H6814"/>
      <c r="I6814"/>
    </row>
    <row r="6815" spans="2:9" ht="15" x14ac:dyDescent="0.25">
      <c r="B6815"/>
      <c r="C6815"/>
      <c r="D6815"/>
      <c r="E6815"/>
      <c r="F6815"/>
      <c r="G6815" s="20"/>
      <c r="H6815"/>
      <c r="I6815"/>
    </row>
    <row r="6816" spans="2:9" ht="15" x14ac:dyDescent="0.25">
      <c r="B6816"/>
      <c r="C6816"/>
      <c r="D6816"/>
      <c r="E6816"/>
      <c r="F6816"/>
      <c r="G6816" s="20"/>
      <c r="H6816"/>
      <c r="I6816"/>
    </row>
    <row r="6817" spans="2:9" ht="15" x14ac:dyDescent="0.25">
      <c r="B6817"/>
      <c r="C6817"/>
      <c r="D6817"/>
      <c r="E6817"/>
      <c r="F6817"/>
      <c r="G6817" s="20"/>
      <c r="H6817"/>
      <c r="I6817"/>
    </row>
    <row r="6818" spans="2:9" ht="15" x14ac:dyDescent="0.25">
      <c r="B6818"/>
      <c r="C6818"/>
      <c r="D6818"/>
      <c r="E6818"/>
      <c r="F6818"/>
      <c r="G6818" s="20"/>
      <c r="H6818"/>
      <c r="I6818"/>
    </row>
    <row r="6819" spans="2:9" ht="15" x14ac:dyDescent="0.25">
      <c r="B6819"/>
      <c r="C6819"/>
      <c r="D6819"/>
      <c r="E6819"/>
      <c r="F6819"/>
      <c r="G6819" s="20"/>
      <c r="H6819"/>
      <c r="I6819"/>
    </row>
    <row r="6820" spans="2:9" ht="15" x14ac:dyDescent="0.25">
      <c r="B6820"/>
      <c r="C6820"/>
      <c r="D6820"/>
      <c r="E6820"/>
      <c r="F6820"/>
      <c r="G6820" s="20"/>
      <c r="H6820"/>
      <c r="I6820"/>
    </row>
    <row r="6821" spans="2:9" ht="15" x14ac:dyDescent="0.25">
      <c r="B6821"/>
      <c r="C6821"/>
      <c r="D6821"/>
      <c r="E6821"/>
      <c r="F6821"/>
      <c r="G6821" s="20"/>
      <c r="H6821"/>
      <c r="I6821"/>
    </row>
    <row r="6822" spans="2:9" ht="15" x14ac:dyDescent="0.25">
      <c r="B6822"/>
      <c r="C6822"/>
      <c r="D6822"/>
      <c r="E6822"/>
      <c r="F6822"/>
      <c r="G6822" s="20"/>
      <c r="H6822"/>
      <c r="I6822"/>
    </row>
    <row r="6823" spans="2:9" ht="15" x14ac:dyDescent="0.25">
      <c r="B6823"/>
      <c r="C6823"/>
      <c r="D6823"/>
      <c r="E6823"/>
      <c r="F6823"/>
      <c r="G6823" s="20"/>
      <c r="H6823"/>
      <c r="I6823"/>
    </row>
    <row r="6824" spans="2:9" ht="15" x14ac:dyDescent="0.25">
      <c r="B6824"/>
      <c r="C6824"/>
      <c r="D6824"/>
      <c r="E6824"/>
      <c r="F6824"/>
      <c r="G6824" s="20"/>
      <c r="H6824"/>
      <c r="I6824"/>
    </row>
    <row r="6825" spans="2:9" ht="15" x14ac:dyDescent="0.25">
      <c r="B6825"/>
      <c r="C6825"/>
      <c r="D6825"/>
      <c r="E6825"/>
      <c r="F6825"/>
      <c r="G6825" s="20"/>
      <c r="H6825"/>
      <c r="I6825"/>
    </row>
    <row r="6826" spans="2:9" ht="15" x14ac:dyDescent="0.25">
      <c r="B6826"/>
      <c r="C6826"/>
      <c r="D6826"/>
      <c r="E6826"/>
      <c r="F6826"/>
      <c r="G6826" s="20"/>
      <c r="H6826"/>
      <c r="I6826"/>
    </row>
    <row r="6827" spans="2:9" ht="15" x14ac:dyDescent="0.25">
      <c r="B6827"/>
      <c r="C6827"/>
      <c r="D6827"/>
      <c r="E6827"/>
      <c r="F6827"/>
      <c r="G6827" s="20"/>
      <c r="H6827"/>
      <c r="I6827"/>
    </row>
    <row r="6828" spans="2:9" ht="15" x14ac:dyDescent="0.25">
      <c r="B6828"/>
      <c r="C6828"/>
      <c r="D6828"/>
      <c r="E6828"/>
      <c r="F6828"/>
      <c r="G6828" s="20"/>
      <c r="H6828"/>
      <c r="I6828"/>
    </row>
    <row r="6829" spans="2:9" ht="15" x14ac:dyDescent="0.25">
      <c r="B6829"/>
      <c r="C6829"/>
      <c r="D6829"/>
      <c r="E6829"/>
      <c r="F6829"/>
      <c r="G6829" s="20"/>
      <c r="H6829"/>
      <c r="I6829"/>
    </row>
    <row r="6830" spans="2:9" ht="15" x14ac:dyDescent="0.25">
      <c r="B6830"/>
      <c r="C6830"/>
      <c r="D6830"/>
      <c r="E6830"/>
      <c r="F6830"/>
      <c r="G6830" s="20"/>
      <c r="H6830"/>
      <c r="I6830"/>
    </row>
    <row r="6831" spans="2:9" ht="15" x14ac:dyDescent="0.25">
      <c r="B6831"/>
      <c r="C6831"/>
      <c r="D6831"/>
      <c r="E6831"/>
      <c r="F6831"/>
      <c r="G6831" s="20"/>
      <c r="H6831"/>
      <c r="I6831"/>
    </row>
    <row r="6832" spans="2:9" ht="15" x14ac:dyDescent="0.25">
      <c r="B6832"/>
      <c r="C6832"/>
      <c r="D6832"/>
      <c r="E6832"/>
      <c r="F6832"/>
      <c r="G6832" s="20"/>
      <c r="H6832"/>
      <c r="I6832"/>
    </row>
    <row r="6833" spans="2:9" ht="15" x14ac:dyDescent="0.25">
      <c r="B6833"/>
      <c r="C6833"/>
      <c r="D6833"/>
      <c r="E6833"/>
      <c r="F6833"/>
      <c r="G6833" s="20"/>
      <c r="H6833"/>
      <c r="I6833"/>
    </row>
    <row r="6834" spans="2:9" ht="15" x14ac:dyDescent="0.25">
      <c r="B6834"/>
      <c r="C6834"/>
      <c r="D6834"/>
      <c r="E6834"/>
      <c r="F6834"/>
      <c r="G6834" s="20"/>
      <c r="H6834"/>
      <c r="I6834"/>
    </row>
    <row r="6835" spans="2:9" ht="15" x14ac:dyDescent="0.25">
      <c r="B6835"/>
      <c r="C6835"/>
      <c r="D6835"/>
      <c r="E6835"/>
      <c r="F6835"/>
      <c r="G6835" s="20"/>
      <c r="H6835"/>
      <c r="I6835"/>
    </row>
    <row r="6836" spans="2:9" ht="15" x14ac:dyDescent="0.25">
      <c r="B6836"/>
      <c r="C6836"/>
      <c r="D6836"/>
      <c r="E6836"/>
      <c r="F6836"/>
      <c r="G6836" s="20"/>
      <c r="H6836"/>
      <c r="I6836"/>
    </row>
    <row r="6837" spans="2:9" ht="15" x14ac:dyDescent="0.25">
      <c r="B6837"/>
      <c r="C6837"/>
      <c r="D6837"/>
      <c r="E6837"/>
      <c r="F6837"/>
      <c r="G6837" s="20"/>
      <c r="H6837"/>
      <c r="I6837"/>
    </row>
    <row r="6838" spans="2:9" ht="15" x14ac:dyDescent="0.25">
      <c r="B6838"/>
      <c r="C6838"/>
      <c r="D6838"/>
      <c r="E6838"/>
      <c r="F6838"/>
      <c r="G6838" s="20"/>
      <c r="H6838"/>
      <c r="I6838"/>
    </row>
    <row r="6839" spans="2:9" ht="15" x14ac:dyDescent="0.25">
      <c r="B6839"/>
      <c r="C6839"/>
      <c r="D6839"/>
      <c r="E6839"/>
      <c r="F6839"/>
      <c r="G6839" s="20"/>
      <c r="H6839"/>
      <c r="I6839"/>
    </row>
    <row r="6840" spans="2:9" ht="15" x14ac:dyDescent="0.25">
      <c r="B6840"/>
      <c r="C6840"/>
      <c r="D6840"/>
      <c r="E6840"/>
      <c r="F6840"/>
      <c r="G6840" s="20"/>
      <c r="H6840"/>
      <c r="I6840"/>
    </row>
    <row r="6841" spans="2:9" ht="15" x14ac:dyDescent="0.25">
      <c r="B6841"/>
      <c r="C6841"/>
      <c r="D6841"/>
      <c r="E6841"/>
      <c r="F6841"/>
      <c r="G6841" s="20"/>
      <c r="H6841"/>
      <c r="I6841"/>
    </row>
    <row r="6842" spans="2:9" ht="15" x14ac:dyDescent="0.25">
      <c r="B6842"/>
      <c r="C6842"/>
      <c r="D6842"/>
      <c r="E6842"/>
      <c r="F6842"/>
      <c r="G6842" s="20"/>
      <c r="H6842"/>
      <c r="I6842"/>
    </row>
    <row r="6843" spans="2:9" ht="15" x14ac:dyDescent="0.25">
      <c r="B6843"/>
      <c r="C6843"/>
      <c r="D6843"/>
      <c r="E6843"/>
      <c r="F6843"/>
      <c r="G6843" s="20"/>
      <c r="H6843"/>
      <c r="I6843"/>
    </row>
    <row r="6844" spans="2:9" ht="15" x14ac:dyDescent="0.25">
      <c r="B6844"/>
      <c r="C6844"/>
      <c r="D6844"/>
      <c r="E6844"/>
      <c r="F6844"/>
      <c r="G6844" s="20"/>
      <c r="H6844"/>
      <c r="I6844"/>
    </row>
    <row r="6845" spans="2:9" ht="15" x14ac:dyDescent="0.25">
      <c r="B6845"/>
      <c r="C6845"/>
      <c r="D6845"/>
      <c r="E6845"/>
      <c r="F6845"/>
      <c r="G6845" s="20"/>
      <c r="H6845"/>
      <c r="I6845"/>
    </row>
    <row r="6846" spans="2:9" ht="15" x14ac:dyDescent="0.25">
      <c r="B6846"/>
      <c r="C6846"/>
      <c r="D6846"/>
      <c r="E6846"/>
      <c r="F6846"/>
      <c r="G6846" s="20"/>
      <c r="H6846"/>
      <c r="I6846"/>
    </row>
    <row r="6847" spans="2:9" ht="15" x14ac:dyDescent="0.25">
      <c r="B6847"/>
      <c r="C6847"/>
      <c r="D6847"/>
      <c r="E6847"/>
      <c r="F6847"/>
      <c r="G6847" s="20"/>
      <c r="H6847"/>
      <c r="I6847"/>
    </row>
    <row r="6848" spans="2:9" ht="15" x14ac:dyDescent="0.25">
      <c r="B6848"/>
      <c r="C6848"/>
      <c r="D6848"/>
      <c r="E6848"/>
      <c r="F6848"/>
      <c r="G6848" s="20"/>
      <c r="H6848"/>
      <c r="I6848"/>
    </row>
    <row r="6849" spans="2:9" ht="15" x14ac:dyDescent="0.25">
      <c r="B6849"/>
      <c r="C6849"/>
      <c r="D6849"/>
      <c r="E6849"/>
      <c r="F6849"/>
      <c r="G6849" s="20"/>
      <c r="H6849"/>
      <c r="I6849"/>
    </row>
    <row r="6850" spans="2:9" ht="15" x14ac:dyDescent="0.25">
      <c r="B6850"/>
      <c r="C6850"/>
      <c r="D6850"/>
      <c r="E6850"/>
      <c r="F6850"/>
      <c r="G6850" s="20"/>
      <c r="H6850"/>
      <c r="I6850"/>
    </row>
    <row r="6851" spans="2:9" ht="15" x14ac:dyDescent="0.25">
      <c r="B6851"/>
      <c r="C6851"/>
      <c r="D6851"/>
      <c r="E6851"/>
      <c r="F6851"/>
      <c r="G6851" s="20"/>
      <c r="H6851"/>
      <c r="I6851"/>
    </row>
    <row r="6852" spans="2:9" ht="15" x14ac:dyDescent="0.25">
      <c r="B6852"/>
      <c r="C6852"/>
      <c r="D6852"/>
      <c r="E6852"/>
      <c r="F6852"/>
      <c r="G6852" s="20"/>
      <c r="H6852"/>
      <c r="I6852"/>
    </row>
    <row r="6853" spans="2:9" ht="15" x14ac:dyDescent="0.25">
      <c r="B6853"/>
      <c r="C6853"/>
      <c r="D6853"/>
      <c r="E6853"/>
      <c r="F6853"/>
      <c r="G6853" s="20"/>
      <c r="H6853"/>
      <c r="I6853"/>
    </row>
    <row r="6854" spans="2:9" ht="15" x14ac:dyDescent="0.25">
      <c r="B6854"/>
      <c r="C6854"/>
      <c r="D6854"/>
      <c r="E6854"/>
      <c r="F6854"/>
      <c r="G6854" s="20"/>
      <c r="H6854"/>
      <c r="I6854"/>
    </row>
    <row r="6855" spans="2:9" ht="15" x14ac:dyDescent="0.25">
      <c r="B6855"/>
      <c r="C6855"/>
      <c r="D6855"/>
      <c r="E6855"/>
      <c r="F6855"/>
      <c r="G6855" s="20"/>
      <c r="H6855"/>
      <c r="I6855"/>
    </row>
    <row r="6856" spans="2:9" ht="15" x14ac:dyDescent="0.25">
      <c r="B6856"/>
      <c r="C6856"/>
      <c r="D6856"/>
      <c r="E6856"/>
      <c r="F6856"/>
      <c r="G6856" s="20"/>
      <c r="H6856"/>
      <c r="I6856"/>
    </row>
    <row r="6857" spans="2:9" ht="15" x14ac:dyDescent="0.25">
      <c r="B6857"/>
      <c r="C6857"/>
      <c r="D6857"/>
      <c r="E6857"/>
      <c r="F6857"/>
      <c r="G6857" s="20"/>
      <c r="H6857"/>
      <c r="I6857"/>
    </row>
    <row r="6858" spans="2:9" ht="15" x14ac:dyDescent="0.25">
      <c r="B6858"/>
      <c r="C6858"/>
      <c r="D6858"/>
      <c r="E6858"/>
      <c r="F6858"/>
      <c r="G6858" s="20"/>
      <c r="H6858"/>
      <c r="I6858"/>
    </row>
    <row r="6859" spans="2:9" ht="15" x14ac:dyDescent="0.25">
      <c r="B6859"/>
      <c r="C6859"/>
      <c r="D6859"/>
      <c r="E6859"/>
      <c r="F6859"/>
      <c r="G6859" s="20"/>
      <c r="H6859"/>
      <c r="I6859"/>
    </row>
    <row r="6860" spans="2:9" ht="15" x14ac:dyDescent="0.25">
      <c r="B6860"/>
      <c r="C6860"/>
      <c r="D6860"/>
      <c r="E6860"/>
      <c r="F6860"/>
      <c r="G6860" s="20"/>
      <c r="H6860"/>
      <c r="I6860"/>
    </row>
    <row r="6861" spans="2:9" ht="15" x14ac:dyDescent="0.25">
      <c r="B6861"/>
      <c r="C6861"/>
      <c r="D6861"/>
      <c r="E6861"/>
      <c r="F6861"/>
      <c r="G6861" s="20"/>
      <c r="H6861"/>
      <c r="I6861"/>
    </row>
    <row r="6862" spans="2:9" ht="15" x14ac:dyDescent="0.25">
      <c r="B6862"/>
      <c r="C6862"/>
      <c r="D6862"/>
      <c r="E6862"/>
      <c r="F6862"/>
      <c r="G6862" s="20"/>
      <c r="H6862"/>
      <c r="I6862"/>
    </row>
    <row r="6863" spans="2:9" ht="15" x14ac:dyDescent="0.25">
      <c r="B6863"/>
      <c r="C6863"/>
      <c r="D6863"/>
      <c r="E6863"/>
      <c r="F6863"/>
      <c r="G6863" s="20"/>
      <c r="H6863"/>
      <c r="I6863"/>
    </row>
    <row r="6864" spans="2:9" ht="15" x14ac:dyDescent="0.25">
      <c r="B6864"/>
      <c r="C6864"/>
      <c r="D6864"/>
      <c r="E6864"/>
      <c r="F6864"/>
      <c r="G6864" s="20"/>
      <c r="H6864"/>
      <c r="I6864"/>
    </row>
    <row r="6865" spans="2:9" ht="15" x14ac:dyDescent="0.25">
      <c r="B6865"/>
      <c r="C6865"/>
      <c r="D6865"/>
      <c r="E6865"/>
      <c r="F6865"/>
      <c r="G6865" s="20"/>
      <c r="H6865"/>
      <c r="I6865"/>
    </row>
    <row r="6866" spans="2:9" ht="15" x14ac:dyDescent="0.25">
      <c r="B6866"/>
      <c r="C6866"/>
      <c r="D6866"/>
      <c r="E6866"/>
      <c r="F6866"/>
      <c r="G6866" s="20"/>
      <c r="H6866"/>
      <c r="I6866"/>
    </row>
    <row r="6867" spans="2:9" ht="15" x14ac:dyDescent="0.25">
      <c r="B6867"/>
      <c r="C6867"/>
      <c r="D6867"/>
      <c r="E6867"/>
      <c r="F6867"/>
      <c r="G6867" s="20"/>
      <c r="H6867"/>
      <c r="I6867"/>
    </row>
    <row r="6868" spans="2:9" ht="15" x14ac:dyDescent="0.25">
      <c r="B6868"/>
      <c r="C6868"/>
      <c r="D6868"/>
      <c r="E6868"/>
      <c r="F6868"/>
      <c r="G6868" s="20"/>
      <c r="H6868"/>
      <c r="I6868"/>
    </row>
    <row r="6869" spans="2:9" ht="15" x14ac:dyDescent="0.25">
      <c r="B6869"/>
      <c r="C6869"/>
      <c r="D6869"/>
      <c r="E6869"/>
      <c r="F6869"/>
      <c r="G6869" s="20"/>
      <c r="H6869"/>
      <c r="I6869"/>
    </row>
    <row r="6870" spans="2:9" ht="15" x14ac:dyDescent="0.25">
      <c r="B6870"/>
      <c r="C6870"/>
      <c r="D6870"/>
      <c r="E6870"/>
      <c r="F6870"/>
      <c r="G6870" s="20"/>
      <c r="H6870"/>
      <c r="I6870"/>
    </row>
    <row r="6871" spans="2:9" ht="15" x14ac:dyDescent="0.25">
      <c r="B6871"/>
      <c r="C6871"/>
      <c r="D6871"/>
      <c r="E6871"/>
      <c r="F6871"/>
      <c r="G6871" s="20"/>
      <c r="H6871"/>
      <c r="I6871"/>
    </row>
    <row r="6872" spans="2:9" ht="15" x14ac:dyDescent="0.25">
      <c r="B6872"/>
      <c r="C6872"/>
      <c r="D6872"/>
      <c r="E6872"/>
      <c r="F6872"/>
      <c r="G6872" s="20"/>
      <c r="H6872"/>
      <c r="I6872"/>
    </row>
    <row r="6873" spans="2:9" ht="15" x14ac:dyDescent="0.25">
      <c r="B6873"/>
      <c r="C6873"/>
      <c r="D6873"/>
      <c r="E6873"/>
      <c r="F6873"/>
      <c r="G6873" s="20"/>
      <c r="H6873"/>
      <c r="I6873"/>
    </row>
    <row r="6874" spans="2:9" ht="15" x14ac:dyDescent="0.25">
      <c r="B6874"/>
      <c r="C6874"/>
      <c r="D6874"/>
      <c r="E6874"/>
      <c r="F6874"/>
      <c r="G6874" s="20"/>
      <c r="H6874"/>
      <c r="I6874"/>
    </row>
    <row r="6875" spans="2:9" ht="15" x14ac:dyDescent="0.25">
      <c r="B6875"/>
      <c r="C6875"/>
      <c r="D6875"/>
      <c r="E6875"/>
      <c r="F6875"/>
      <c r="G6875" s="20"/>
      <c r="H6875"/>
      <c r="I6875"/>
    </row>
    <row r="6876" spans="2:9" ht="15" x14ac:dyDescent="0.25">
      <c r="B6876"/>
      <c r="C6876"/>
      <c r="D6876"/>
      <c r="E6876"/>
      <c r="F6876"/>
      <c r="G6876" s="20"/>
      <c r="H6876"/>
      <c r="I6876"/>
    </row>
    <row r="6877" spans="2:9" ht="15" x14ac:dyDescent="0.25">
      <c r="B6877"/>
      <c r="C6877"/>
      <c r="D6877"/>
      <c r="E6877"/>
      <c r="F6877"/>
      <c r="G6877" s="20"/>
      <c r="H6877"/>
      <c r="I6877"/>
    </row>
    <row r="6878" spans="2:9" ht="15" x14ac:dyDescent="0.25">
      <c r="B6878"/>
      <c r="C6878"/>
      <c r="D6878"/>
      <c r="E6878"/>
      <c r="F6878"/>
      <c r="G6878" s="20"/>
      <c r="H6878"/>
      <c r="I6878"/>
    </row>
    <row r="6879" spans="2:9" ht="15" x14ac:dyDescent="0.25">
      <c r="B6879"/>
      <c r="C6879"/>
      <c r="D6879"/>
      <c r="E6879"/>
      <c r="F6879"/>
      <c r="G6879" s="20"/>
      <c r="H6879"/>
      <c r="I6879"/>
    </row>
    <row r="6880" spans="2:9" ht="15" x14ac:dyDescent="0.25">
      <c r="B6880"/>
      <c r="C6880"/>
      <c r="D6880"/>
      <c r="E6880"/>
      <c r="F6880"/>
      <c r="G6880" s="20"/>
      <c r="H6880"/>
      <c r="I6880"/>
    </row>
    <row r="6881" spans="2:9" ht="15" x14ac:dyDescent="0.25">
      <c r="B6881"/>
      <c r="C6881"/>
      <c r="D6881"/>
      <c r="E6881"/>
      <c r="F6881"/>
      <c r="G6881" s="20"/>
      <c r="H6881"/>
      <c r="I6881"/>
    </row>
    <row r="6882" spans="2:9" ht="15" x14ac:dyDescent="0.25">
      <c r="B6882"/>
      <c r="C6882"/>
      <c r="D6882"/>
      <c r="E6882"/>
      <c r="F6882"/>
      <c r="G6882" s="20"/>
      <c r="H6882"/>
      <c r="I6882"/>
    </row>
    <row r="6883" spans="2:9" ht="15" x14ac:dyDescent="0.25">
      <c r="B6883"/>
      <c r="C6883"/>
      <c r="D6883"/>
      <c r="E6883"/>
      <c r="F6883"/>
      <c r="G6883" s="20"/>
      <c r="H6883"/>
      <c r="I6883"/>
    </row>
    <row r="6884" spans="2:9" ht="15" x14ac:dyDescent="0.25">
      <c r="B6884"/>
      <c r="C6884"/>
      <c r="D6884"/>
      <c r="E6884"/>
      <c r="F6884"/>
      <c r="G6884" s="20"/>
      <c r="H6884"/>
      <c r="I6884"/>
    </row>
    <row r="6885" spans="2:9" ht="15" x14ac:dyDescent="0.25">
      <c r="B6885"/>
      <c r="C6885"/>
      <c r="D6885"/>
      <c r="E6885"/>
      <c r="F6885"/>
      <c r="G6885" s="20"/>
      <c r="H6885"/>
      <c r="I6885"/>
    </row>
    <row r="6886" spans="2:9" ht="15" x14ac:dyDescent="0.25">
      <c r="B6886"/>
      <c r="C6886"/>
      <c r="D6886"/>
      <c r="E6886"/>
      <c r="F6886"/>
      <c r="G6886" s="20"/>
      <c r="H6886"/>
      <c r="I6886"/>
    </row>
    <row r="6887" spans="2:9" ht="15" x14ac:dyDescent="0.25">
      <c r="B6887"/>
      <c r="C6887"/>
      <c r="D6887"/>
      <c r="E6887"/>
      <c r="F6887"/>
      <c r="G6887" s="20"/>
      <c r="H6887"/>
      <c r="I6887"/>
    </row>
    <row r="6888" spans="2:9" ht="15" x14ac:dyDescent="0.25">
      <c r="B6888"/>
      <c r="C6888"/>
      <c r="D6888"/>
      <c r="E6888"/>
      <c r="F6888"/>
      <c r="G6888" s="20"/>
      <c r="H6888"/>
      <c r="I6888"/>
    </row>
    <row r="6889" spans="2:9" ht="15" x14ac:dyDescent="0.25">
      <c r="B6889"/>
      <c r="C6889"/>
      <c r="D6889"/>
      <c r="E6889"/>
      <c r="F6889"/>
      <c r="G6889" s="20"/>
      <c r="H6889"/>
      <c r="I6889"/>
    </row>
    <row r="6890" spans="2:9" ht="15" x14ac:dyDescent="0.25">
      <c r="B6890"/>
      <c r="C6890"/>
      <c r="D6890"/>
      <c r="E6890"/>
      <c r="F6890"/>
      <c r="G6890" s="20"/>
      <c r="H6890"/>
      <c r="I6890"/>
    </row>
    <row r="6891" spans="2:9" ht="15" x14ac:dyDescent="0.25">
      <c r="B6891"/>
      <c r="C6891"/>
      <c r="D6891"/>
      <c r="E6891"/>
      <c r="F6891"/>
      <c r="G6891" s="20"/>
      <c r="H6891"/>
      <c r="I6891"/>
    </row>
    <row r="6892" spans="2:9" ht="15" x14ac:dyDescent="0.25">
      <c r="B6892"/>
      <c r="C6892"/>
      <c r="D6892"/>
      <c r="E6892"/>
      <c r="F6892"/>
      <c r="G6892" s="20"/>
      <c r="H6892"/>
      <c r="I6892"/>
    </row>
    <row r="6893" spans="2:9" ht="15" x14ac:dyDescent="0.25">
      <c r="B6893"/>
      <c r="C6893"/>
      <c r="D6893"/>
      <c r="E6893"/>
      <c r="F6893"/>
      <c r="G6893" s="20"/>
      <c r="H6893"/>
      <c r="I6893"/>
    </row>
    <row r="6894" spans="2:9" ht="15" x14ac:dyDescent="0.25">
      <c r="B6894"/>
      <c r="C6894"/>
      <c r="D6894"/>
      <c r="E6894"/>
      <c r="F6894"/>
      <c r="G6894" s="20"/>
      <c r="H6894"/>
      <c r="I6894"/>
    </row>
    <row r="6895" spans="2:9" ht="15" x14ac:dyDescent="0.25">
      <c r="B6895"/>
      <c r="C6895"/>
      <c r="D6895"/>
      <c r="E6895"/>
      <c r="F6895"/>
      <c r="G6895" s="20"/>
      <c r="H6895"/>
      <c r="I6895"/>
    </row>
    <row r="6896" spans="2:9" ht="15" x14ac:dyDescent="0.25">
      <c r="B6896"/>
      <c r="C6896"/>
      <c r="D6896"/>
      <c r="E6896"/>
      <c r="F6896"/>
      <c r="G6896" s="20"/>
      <c r="H6896"/>
      <c r="I6896"/>
    </row>
    <row r="6897" spans="2:9" ht="15" x14ac:dyDescent="0.25">
      <c r="B6897"/>
      <c r="C6897"/>
      <c r="D6897"/>
      <c r="E6897"/>
      <c r="F6897"/>
      <c r="G6897" s="20"/>
      <c r="H6897"/>
      <c r="I6897"/>
    </row>
    <row r="6898" spans="2:9" ht="15" x14ac:dyDescent="0.25">
      <c r="B6898"/>
      <c r="C6898"/>
      <c r="D6898"/>
      <c r="E6898"/>
      <c r="F6898"/>
      <c r="G6898" s="20"/>
      <c r="H6898"/>
      <c r="I6898"/>
    </row>
    <row r="6899" spans="2:9" ht="15" x14ac:dyDescent="0.25">
      <c r="B6899"/>
      <c r="C6899"/>
      <c r="D6899"/>
      <c r="E6899"/>
      <c r="F6899"/>
      <c r="G6899" s="20"/>
      <c r="H6899"/>
      <c r="I6899"/>
    </row>
    <row r="6900" spans="2:9" ht="15" x14ac:dyDescent="0.25">
      <c r="B6900"/>
      <c r="C6900"/>
      <c r="D6900"/>
      <c r="E6900"/>
      <c r="F6900"/>
      <c r="G6900" s="20"/>
      <c r="H6900"/>
      <c r="I6900"/>
    </row>
    <row r="6901" spans="2:9" ht="15" x14ac:dyDescent="0.25">
      <c r="B6901"/>
      <c r="C6901"/>
      <c r="D6901"/>
      <c r="E6901"/>
      <c r="F6901"/>
      <c r="G6901" s="20"/>
      <c r="H6901"/>
      <c r="I6901"/>
    </row>
    <row r="6902" spans="2:9" ht="15" x14ac:dyDescent="0.25">
      <c r="B6902"/>
      <c r="C6902"/>
      <c r="D6902"/>
      <c r="E6902"/>
      <c r="F6902"/>
      <c r="G6902" s="20"/>
      <c r="H6902"/>
      <c r="I6902"/>
    </row>
    <row r="6903" spans="2:9" ht="15" x14ac:dyDescent="0.25">
      <c r="B6903"/>
      <c r="C6903"/>
      <c r="D6903"/>
      <c r="E6903"/>
      <c r="F6903"/>
      <c r="G6903" s="20"/>
      <c r="H6903"/>
      <c r="I6903"/>
    </row>
    <row r="6904" spans="2:9" ht="15" x14ac:dyDescent="0.25">
      <c r="B6904"/>
      <c r="C6904"/>
      <c r="D6904"/>
      <c r="E6904"/>
      <c r="F6904"/>
      <c r="G6904" s="20"/>
      <c r="H6904"/>
      <c r="I6904"/>
    </row>
    <row r="6905" spans="2:9" ht="15" x14ac:dyDescent="0.25">
      <c r="B6905"/>
      <c r="C6905"/>
      <c r="D6905"/>
      <c r="E6905"/>
      <c r="F6905"/>
      <c r="G6905" s="20"/>
      <c r="H6905"/>
      <c r="I6905"/>
    </row>
    <row r="6906" spans="2:9" ht="15" x14ac:dyDescent="0.25">
      <c r="B6906"/>
      <c r="C6906"/>
      <c r="D6906"/>
      <c r="E6906"/>
      <c r="F6906"/>
      <c r="G6906" s="20"/>
      <c r="H6906"/>
      <c r="I6906"/>
    </row>
    <row r="6907" spans="2:9" ht="15" x14ac:dyDescent="0.25">
      <c r="B6907"/>
      <c r="C6907"/>
      <c r="D6907"/>
      <c r="E6907"/>
      <c r="F6907"/>
      <c r="G6907" s="20"/>
      <c r="H6907"/>
      <c r="I6907"/>
    </row>
    <row r="6908" spans="2:9" ht="15" x14ac:dyDescent="0.25">
      <c r="B6908"/>
      <c r="C6908"/>
      <c r="D6908"/>
      <c r="E6908"/>
      <c r="F6908"/>
      <c r="G6908" s="20"/>
      <c r="H6908"/>
      <c r="I6908"/>
    </row>
    <row r="6909" spans="2:9" ht="15" x14ac:dyDescent="0.25">
      <c r="B6909"/>
      <c r="C6909"/>
      <c r="D6909"/>
      <c r="E6909"/>
      <c r="F6909"/>
      <c r="G6909" s="20"/>
      <c r="H6909"/>
      <c r="I6909"/>
    </row>
    <row r="6910" spans="2:9" ht="15" x14ac:dyDescent="0.25">
      <c r="B6910"/>
      <c r="C6910"/>
      <c r="D6910"/>
      <c r="E6910"/>
      <c r="F6910"/>
      <c r="G6910" s="20"/>
      <c r="H6910"/>
      <c r="I6910"/>
    </row>
    <row r="6911" spans="2:9" ht="15" x14ac:dyDescent="0.25">
      <c r="B6911"/>
      <c r="C6911"/>
      <c r="D6911"/>
      <c r="E6911"/>
      <c r="F6911"/>
      <c r="G6911" s="20"/>
      <c r="H6911"/>
      <c r="I6911"/>
    </row>
    <row r="6912" spans="2:9" ht="15" x14ac:dyDescent="0.25">
      <c r="B6912"/>
      <c r="C6912"/>
      <c r="D6912"/>
      <c r="E6912"/>
      <c r="F6912"/>
      <c r="G6912" s="20"/>
      <c r="H6912"/>
      <c r="I6912"/>
    </row>
    <row r="6913" spans="2:9" ht="15" x14ac:dyDescent="0.25">
      <c r="B6913"/>
      <c r="C6913"/>
      <c r="D6913"/>
      <c r="E6913"/>
      <c r="F6913"/>
      <c r="G6913" s="20"/>
      <c r="H6913"/>
      <c r="I6913"/>
    </row>
    <row r="6914" spans="2:9" ht="15" x14ac:dyDescent="0.25">
      <c r="B6914"/>
      <c r="C6914"/>
      <c r="D6914"/>
      <c r="E6914"/>
      <c r="F6914"/>
      <c r="G6914" s="20"/>
      <c r="H6914"/>
      <c r="I6914"/>
    </row>
    <row r="6915" spans="2:9" ht="15" x14ac:dyDescent="0.25">
      <c r="B6915"/>
      <c r="C6915"/>
      <c r="D6915"/>
      <c r="E6915"/>
      <c r="F6915"/>
      <c r="G6915" s="20"/>
      <c r="H6915"/>
      <c r="I6915"/>
    </row>
    <row r="6916" spans="2:9" ht="15" x14ac:dyDescent="0.25">
      <c r="B6916"/>
      <c r="C6916"/>
      <c r="D6916"/>
      <c r="E6916"/>
      <c r="F6916"/>
      <c r="G6916" s="20"/>
      <c r="H6916"/>
      <c r="I6916"/>
    </row>
    <row r="6917" spans="2:9" ht="15" x14ac:dyDescent="0.25">
      <c r="B6917"/>
      <c r="C6917"/>
      <c r="D6917"/>
      <c r="E6917"/>
      <c r="F6917"/>
      <c r="G6917" s="20"/>
      <c r="H6917"/>
      <c r="I6917"/>
    </row>
    <row r="6918" spans="2:9" ht="15" x14ac:dyDescent="0.25">
      <c r="B6918"/>
      <c r="C6918"/>
      <c r="D6918"/>
      <c r="E6918"/>
      <c r="F6918"/>
      <c r="G6918" s="20"/>
      <c r="H6918"/>
      <c r="I6918"/>
    </row>
    <row r="6919" spans="2:9" ht="15" x14ac:dyDescent="0.25">
      <c r="B6919"/>
      <c r="C6919"/>
      <c r="D6919"/>
      <c r="E6919"/>
      <c r="F6919"/>
      <c r="G6919" s="20"/>
      <c r="H6919"/>
      <c r="I6919"/>
    </row>
    <row r="6920" spans="2:9" ht="15" x14ac:dyDescent="0.25">
      <c r="B6920"/>
      <c r="C6920"/>
      <c r="D6920"/>
      <c r="E6920"/>
      <c r="F6920"/>
      <c r="G6920" s="20"/>
      <c r="H6920"/>
      <c r="I6920"/>
    </row>
    <row r="6921" spans="2:9" ht="15" x14ac:dyDescent="0.25">
      <c r="B6921"/>
      <c r="C6921"/>
      <c r="D6921"/>
      <c r="E6921"/>
      <c r="F6921"/>
      <c r="G6921" s="20"/>
      <c r="H6921"/>
      <c r="I6921"/>
    </row>
    <row r="6922" spans="2:9" ht="15" x14ac:dyDescent="0.25">
      <c r="B6922"/>
      <c r="C6922"/>
      <c r="D6922"/>
      <c r="E6922"/>
      <c r="F6922"/>
      <c r="G6922" s="20"/>
      <c r="H6922"/>
      <c r="I6922"/>
    </row>
    <row r="6923" spans="2:9" ht="15" x14ac:dyDescent="0.25">
      <c r="B6923"/>
      <c r="C6923"/>
      <c r="D6923"/>
      <c r="E6923"/>
      <c r="F6923"/>
      <c r="G6923" s="20"/>
      <c r="H6923"/>
      <c r="I6923"/>
    </row>
    <row r="6924" spans="2:9" ht="15" x14ac:dyDescent="0.25">
      <c r="B6924"/>
      <c r="C6924"/>
      <c r="D6924"/>
      <c r="E6924"/>
      <c r="F6924"/>
      <c r="G6924" s="20"/>
      <c r="H6924"/>
      <c r="I6924"/>
    </row>
    <row r="6925" spans="2:9" ht="15" x14ac:dyDescent="0.25">
      <c r="B6925"/>
      <c r="C6925"/>
      <c r="D6925"/>
      <c r="E6925"/>
      <c r="F6925"/>
      <c r="G6925" s="20"/>
      <c r="H6925"/>
      <c r="I6925"/>
    </row>
    <row r="6926" spans="2:9" ht="15" x14ac:dyDescent="0.25">
      <c r="B6926"/>
      <c r="C6926"/>
      <c r="D6926"/>
      <c r="E6926"/>
      <c r="F6926"/>
      <c r="G6926" s="20"/>
      <c r="H6926"/>
      <c r="I6926"/>
    </row>
    <row r="6927" spans="2:9" ht="15" x14ac:dyDescent="0.25">
      <c r="B6927"/>
      <c r="C6927"/>
      <c r="D6927"/>
      <c r="E6927"/>
      <c r="F6927"/>
      <c r="G6927" s="20"/>
      <c r="H6927"/>
      <c r="I6927"/>
    </row>
    <row r="6928" spans="2:9" ht="15" x14ac:dyDescent="0.25">
      <c r="B6928"/>
      <c r="C6928"/>
      <c r="D6928"/>
      <c r="E6928"/>
      <c r="F6928"/>
      <c r="G6928" s="20"/>
      <c r="H6928"/>
      <c r="I6928"/>
    </row>
    <row r="6929" spans="2:9" ht="15" x14ac:dyDescent="0.25">
      <c r="B6929"/>
      <c r="C6929"/>
      <c r="D6929"/>
      <c r="E6929"/>
      <c r="F6929"/>
      <c r="G6929" s="20"/>
      <c r="H6929"/>
      <c r="I6929"/>
    </row>
    <row r="6930" spans="2:9" ht="15" x14ac:dyDescent="0.25">
      <c r="B6930"/>
      <c r="C6930"/>
      <c r="D6930"/>
      <c r="E6930"/>
      <c r="F6930"/>
      <c r="G6930" s="20"/>
      <c r="H6930"/>
      <c r="I6930"/>
    </row>
    <row r="6931" spans="2:9" ht="15" x14ac:dyDescent="0.25">
      <c r="B6931"/>
      <c r="C6931"/>
      <c r="D6931"/>
      <c r="E6931"/>
      <c r="F6931"/>
      <c r="G6931" s="20"/>
      <c r="H6931"/>
      <c r="I6931"/>
    </row>
    <row r="6932" spans="2:9" ht="15" x14ac:dyDescent="0.25">
      <c r="B6932"/>
      <c r="C6932"/>
      <c r="D6932"/>
      <c r="E6932"/>
      <c r="F6932"/>
      <c r="G6932" s="20"/>
      <c r="H6932"/>
      <c r="I6932"/>
    </row>
    <row r="6933" spans="2:9" ht="15" x14ac:dyDescent="0.25">
      <c r="B6933"/>
      <c r="C6933"/>
      <c r="D6933"/>
      <c r="E6933"/>
      <c r="F6933"/>
      <c r="G6933" s="20"/>
      <c r="H6933"/>
      <c r="I6933"/>
    </row>
    <row r="6934" spans="2:9" ht="15" x14ac:dyDescent="0.25">
      <c r="B6934"/>
      <c r="C6934"/>
      <c r="D6934"/>
      <c r="E6934"/>
      <c r="F6934"/>
      <c r="G6934" s="20"/>
      <c r="H6934"/>
      <c r="I6934"/>
    </row>
    <row r="6935" spans="2:9" ht="15" x14ac:dyDescent="0.25">
      <c r="B6935"/>
      <c r="C6935"/>
      <c r="D6935"/>
      <c r="E6935"/>
      <c r="F6935"/>
      <c r="G6935" s="20"/>
      <c r="H6935"/>
      <c r="I6935"/>
    </row>
    <row r="6936" spans="2:9" ht="15" x14ac:dyDescent="0.25">
      <c r="B6936"/>
      <c r="C6936"/>
      <c r="D6936"/>
      <c r="E6936"/>
      <c r="F6936"/>
      <c r="G6936" s="20"/>
      <c r="H6936"/>
      <c r="I6936"/>
    </row>
    <row r="6937" spans="2:9" ht="15" x14ac:dyDescent="0.25">
      <c r="B6937"/>
      <c r="C6937"/>
      <c r="D6937"/>
      <c r="E6937"/>
      <c r="F6937"/>
      <c r="G6937" s="20"/>
      <c r="H6937"/>
      <c r="I6937"/>
    </row>
    <row r="6938" spans="2:9" ht="15" x14ac:dyDescent="0.25">
      <c r="B6938"/>
      <c r="C6938"/>
      <c r="D6938"/>
      <c r="E6938"/>
      <c r="F6938"/>
      <c r="G6938" s="20"/>
      <c r="H6938"/>
      <c r="I6938"/>
    </row>
    <row r="6939" spans="2:9" ht="15" x14ac:dyDescent="0.25">
      <c r="B6939"/>
      <c r="C6939"/>
      <c r="D6939"/>
      <c r="E6939"/>
      <c r="F6939"/>
      <c r="G6939" s="20"/>
      <c r="H6939"/>
      <c r="I6939"/>
    </row>
    <row r="6940" spans="2:9" ht="15" x14ac:dyDescent="0.25">
      <c r="B6940"/>
      <c r="C6940"/>
      <c r="D6940"/>
      <c r="E6940"/>
      <c r="F6940"/>
      <c r="G6940" s="20"/>
      <c r="H6940"/>
      <c r="I6940"/>
    </row>
    <row r="6941" spans="2:9" ht="15" x14ac:dyDescent="0.25">
      <c r="B6941"/>
      <c r="C6941"/>
      <c r="D6941"/>
      <c r="E6941"/>
      <c r="F6941"/>
      <c r="G6941" s="20"/>
      <c r="H6941"/>
      <c r="I6941"/>
    </row>
    <row r="6942" spans="2:9" ht="15" x14ac:dyDescent="0.25">
      <c r="B6942"/>
      <c r="C6942"/>
      <c r="D6942"/>
      <c r="E6942"/>
      <c r="F6942"/>
      <c r="G6942" s="20"/>
      <c r="H6942"/>
      <c r="I6942"/>
    </row>
    <row r="6943" spans="2:9" ht="15" x14ac:dyDescent="0.25">
      <c r="B6943"/>
      <c r="C6943"/>
      <c r="D6943"/>
      <c r="E6943"/>
      <c r="F6943"/>
      <c r="G6943" s="20"/>
      <c r="H6943"/>
      <c r="I6943"/>
    </row>
    <row r="6944" spans="2:9" ht="15" x14ac:dyDescent="0.25">
      <c r="B6944"/>
      <c r="C6944"/>
      <c r="D6944"/>
      <c r="E6944"/>
      <c r="F6944"/>
      <c r="G6944" s="20"/>
      <c r="H6944"/>
      <c r="I6944"/>
    </row>
    <row r="6945" spans="2:9" ht="15" x14ac:dyDescent="0.25">
      <c r="B6945"/>
      <c r="C6945"/>
      <c r="D6945"/>
      <c r="E6945"/>
      <c r="F6945"/>
      <c r="G6945" s="20"/>
      <c r="H6945"/>
      <c r="I6945"/>
    </row>
    <row r="6946" spans="2:9" ht="15" x14ac:dyDescent="0.25">
      <c r="B6946"/>
      <c r="C6946"/>
      <c r="D6946"/>
      <c r="E6946"/>
      <c r="F6946"/>
      <c r="G6946" s="20"/>
      <c r="H6946"/>
      <c r="I6946"/>
    </row>
    <row r="6947" spans="2:9" ht="15" x14ac:dyDescent="0.25">
      <c r="B6947"/>
      <c r="C6947"/>
      <c r="D6947"/>
      <c r="E6947"/>
      <c r="F6947"/>
      <c r="G6947" s="20"/>
      <c r="H6947"/>
      <c r="I6947"/>
    </row>
    <row r="6948" spans="2:9" ht="15" x14ac:dyDescent="0.25">
      <c r="B6948"/>
      <c r="C6948"/>
      <c r="D6948"/>
      <c r="E6948"/>
      <c r="F6948"/>
      <c r="G6948" s="20"/>
      <c r="H6948"/>
      <c r="I6948"/>
    </row>
    <row r="6949" spans="2:9" ht="15" x14ac:dyDescent="0.25">
      <c r="B6949"/>
      <c r="C6949"/>
      <c r="D6949"/>
      <c r="E6949"/>
      <c r="F6949"/>
      <c r="G6949" s="20"/>
      <c r="H6949"/>
      <c r="I6949"/>
    </row>
    <row r="6950" spans="2:9" ht="15" x14ac:dyDescent="0.25">
      <c r="B6950"/>
      <c r="C6950"/>
      <c r="D6950"/>
      <c r="E6950"/>
      <c r="F6950"/>
      <c r="G6950" s="20"/>
      <c r="H6950"/>
      <c r="I6950"/>
    </row>
    <row r="6951" spans="2:9" ht="15" x14ac:dyDescent="0.25">
      <c r="B6951"/>
      <c r="C6951"/>
      <c r="D6951"/>
      <c r="E6951"/>
      <c r="F6951"/>
      <c r="G6951" s="20"/>
      <c r="H6951"/>
      <c r="I6951"/>
    </row>
    <row r="6952" spans="2:9" ht="15" x14ac:dyDescent="0.25">
      <c r="B6952"/>
      <c r="C6952"/>
      <c r="D6952"/>
      <c r="E6952"/>
      <c r="F6952"/>
      <c r="G6952" s="20"/>
      <c r="H6952"/>
      <c r="I6952"/>
    </row>
    <row r="6953" spans="2:9" ht="15" x14ac:dyDescent="0.25">
      <c r="B6953"/>
      <c r="C6953"/>
      <c r="D6953"/>
      <c r="E6953"/>
      <c r="F6953"/>
      <c r="G6953" s="20"/>
      <c r="H6953"/>
      <c r="I6953"/>
    </row>
    <row r="6954" spans="2:9" ht="15" x14ac:dyDescent="0.25">
      <c r="B6954"/>
      <c r="C6954"/>
      <c r="D6954"/>
      <c r="E6954"/>
      <c r="F6954"/>
      <c r="G6954" s="20"/>
      <c r="H6954"/>
      <c r="I6954"/>
    </row>
    <row r="6955" spans="2:9" ht="15" x14ac:dyDescent="0.25">
      <c r="B6955"/>
      <c r="C6955"/>
      <c r="D6955"/>
      <c r="E6955"/>
      <c r="F6955"/>
      <c r="G6955" s="20"/>
      <c r="H6955"/>
      <c r="I6955"/>
    </row>
    <row r="6956" spans="2:9" ht="15" x14ac:dyDescent="0.25">
      <c r="B6956"/>
      <c r="C6956"/>
      <c r="D6956"/>
      <c r="E6956"/>
      <c r="F6956"/>
      <c r="G6956" s="20"/>
      <c r="H6956"/>
      <c r="I6956"/>
    </row>
    <row r="6957" spans="2:9" ht="15" x14ac:dyDescent="0.25">
      <c r="B6957"/>
      <c r="C6957"/>
      <c r="D6957"/>
      <c r="E6957"/>
      <c r="F6957"/>
      <c r="G6957" s="20"/>
      <c r="H6957"/>
      <c r="I6957"/>
    </row>
    <row r="6958" spans="2:9" ht="15" x14ac:dyDescent="0.25">
      <c r="B6958"/>
      <c r="C6958"/>
      <c r="D6958"/>
      <c r="E6958"/>
      <c r="F6958"/>
      <c r="G6958" s="20"/>
      <c r="H6958"/>
      <c r="I6958"/>
    </row>
    <row r="6959" spans="2:9" ht="15" x14ac:dyDescent="0.25">
      <c r="B6959"/>
      <c r="C6959"/>
      <c r="D6959"/>
      <c r="E6959"/>
      <c r="F6959"/>
      <c r="G6959" s="20"/>
      <c r="H6959"/>
      <c r="I6959"/>
    </row>
    <row r="6960" spans="2:9" ht="15" x14ac:dyDescent="0.25">
      <c r="B6960"/>
      <c r="C6960"/>
      <c r="D6960"/>
      <c r="E6960"/>
      <c r="F6960"/>
      <c r="G6960" s="20"/>
      <c r="H6960"/>
      <c r="I6960"/>
    </row>
    <row r="6961" spans="2:9" ht="15" x14ac:dyDescent="0.25">
      <c r="B6961"/>
      <c r="C6961"/>
      <c r="D6961"/>
      <c r="E6961"/>
      <c r="F6961"/>
      <c r="G6961" s="20"/>
      <c r="H6961"/>
      <c r="I6961"/>
    </row>
    <row r="6962" spans="2:9" ht="15" x14ac:dyDescent="0.25">
      <c r="B6962"/>
      <c r="C6962"/>
      <c r="D6962"/>
      <c r="E6962"/>
      <c r="F6962"/>
      <c r="G6962" s="20"/>
      <c r="H6962"/>
      <c r="I6962"/>
    </row>
    <row r="6963" spans="2:9" ht="15" x14ac:dyDescent="0.25">
      <c r="B6963"/>
      <c r="C6963"/>
      <c r="D6963"/>
      <c r="E6963"/>
      <c r="F6963"/>
      <c r="G6963" s="20"/>
      <c r="H6963"/>
      <c r="I6963"/>
    </row>
    <row r="6964" spans="2:9" ht="15" x14ac:dyDescent="0.25">
      <c r="B6964"/>
      <c r="C6964"/>
      <c r="D6964"/>
      <c r="E6964"/>
      <c r="F6964"/>
      <c r="G6964" s="20"/>
      <c r="H6964"/>
      <c r="I6964"/>
    </row>
    <row r="6965" spans="2:9" ht="15" x14ac:dyDescent="0.25">
      <c r="B6965"/>
      <c r="C6965"/>
      <c r="D6965"/>
      <c r="E6965"/>
      <c r="F6965"/>
      <c r="G6965" s="20"/>
      <c r="H6965"/>
      <c r="I6965"/>
    </row>
    <row r="6966" spans="2:9" ht="15" x14ac:dyDescent="0.25">
      <c r="B6966"/>
      <c r="C6966"/>
      <c r="D6966"/>
      <c r="E6966"/>
      <c r="F6966"/>
      <c r="G6966" s="20"/>
      <c r="H6966"/>
      <c r="I6966"/>
    </row>
    <row r="6967" spans="2:9" ht="15" x14ac:dyDescent="0.25">
      <c r="B6967"/>
      <c r="C6967"/>
      <c r="D6967"/>
      <c r="E6967"/>
      <c r="F6967"/>
      <c r="G6967" s="20"/>
      <c r="H6967"/>
      <c r="I6967"/>
    </row>
    <row r="6968" spans="2:9" ht="15" x14ac:dyDescent="0.25">
      <c r="B6968"/>
      <c r="C6968"/>
      <c r="D6968"/>
      <c r="E6968"/>
      <c r="F6968"/>
      <c r="G6968" s="20"/>
      <c r="H6968"/>
      <c r="I6968"/>
    </row>
    <row r="6969" spans="2:9" ht="15" x14ac:dyDescent="0.25">
      <c r="B6969"/>
      <c r="C6969"/>
      <c r="D6969"/>
      <c r="E6969"/>
      <c r="F6969"/>
      <c r="G6969" s="20"/>
      <c r="H6969"/>
      <c r="I6969"/>
    </row>
    <row r="6970" spans="2:9" ht="15" x14ac:dyDescent="0.25">
      <c r="B6970"/>
      <c r="C6970"/>
      <c r="D6970"/>
      <c r="E6970"/>
      <c r="F6970"/>
      <c r="G6970" s="20"/>
      <c r="H6970"/>
      <c r="I6970"/>
    </row>
    <row r="6971" spans="2:9" ht="15" x14ac:dyDescent="0.25">
      <c r="B6971"/>
      <c r="C6971"/>
      <c r="D6971"/>
      <c r="E6971"/>
      <c r="F6971"/>
      <c r="G6971" s="20"/>
      <c r="H6971"/>
      <c r="I6971"/>
    </row>
    <row r="6972" spans="2:9" ht="15" x14ac:dyDescent="0.25">
      <c r="B6972"/>
      <c r="C6972"/>
      <c r="D6972"/>
      <c r="E6972"/>
      <c r="F6972"/>
      <c r="G6972" s="20"/>
      <c r="H6972"/>
      <c r="I6972"/>
    </row>
    <row r="6973" spans="2:9" ht="15" x14ac:dyDescent="0.25">
      <c r="B6973"/>
      <c r="C6973"/>
      <c r="D6973"/>
      <c r="E6973"/>
      <c r="F6973"/>
      <c r="G6973" s="20"/>
      <c r="H6973"/>
      <c r="I6973"/>
    </row>
    <row r="6974" spans="2:9" ht="15" x14ac:dyDescent="0.25">
      <c r="B6974"/>
      <c r="C6974"/>
      <c r="D6974"/>
      <c r="E6974"/>
      <c r="F6974"/>
      <c r="G6974" s="20"/>
      <c r="H6974"/>
      <c r="I6974"/>
    </row>
    <row r="6975" spans="2:9" ht="15" x14ac:dyDescent="0.25">
      <c r="B6975"/>
      <c r="C6975"/>
      <c r="D6975"/>
      <c r="E6975"/>
      <c r="F6975"/>
      <c r="G6975" s="20"/>
      <c r="H6975"/>
      <c r="I6975"/>
    </row>
    <row r="6976" spans="2:9" ht="15" x14ac:dyDescent="0.25">
      <c r="B6976"/>
      <c r="C6976"/>
      <c r="D6976"/>
      <c r="E6976"/>
      <c r="F6976"/>
      <c r="G6976" s="20"/>
      <c r="H6976"/>
      <c r="I6976"/>
    </row>
    <row r="6977" spans="2:9" ht="15" x14ac:dyDescent="0.25">
      <c r="B6977"/>
      <c r="C6977"/>
      <c r="D6977"/>
      <c r="E6977"/>
      <c r="F6977"/>
      <c r="G6977" s="20"/>
      <c r="H6977"/>
      <c r="I6977"/>
    </row>
    <row r="6978" spans="2:9" ht="15" x14ac:dyDescent="0.25">
      <c r="B6978"/>
      <c r="C6978"/>
      <c r="D6978"/>
      <c r="E6978"/>
      <c r="F6978"/>
      <c r="G6978" s="20"/>
      <c r="H6978"/>
      <c r="I6978"/>
    </row>
    <row r="6979" spans="2:9" ht="15" x14ac:dyDescent="0.25">
      <c r="B6979"/>
      <c r="C6979"/>
      <c r="D6979"/>
      <c r="E6979"/>
      <c r="F6979"/>
      <c r="G6979" s="20"/>
      <c r="H6979"/>
      <c r="I6979"/>
    </row>
    <row r="6980" spans="2:9" ht="15" x14ac:dyDescent="0.25">
      <c r="B6980"/>
      <c r="C6980"/>
      <c r="D6980"/>
      <c r="E6980"/>
      <c r="F6980"/>
      <c r="G6980" s="20"/>
      <c r="H6980"/>
      <c r="I6980"/>
    </row>
    <row r="6981" spans="2:9" ht="15" x14ac:dyDescent="0.25">
      <c r="B6981"/>
      <c r="C6981"/>
      <c r="D6981"/>
      <c r="E6981"/>
      <c r="F6981"/>
      <c r="G6981" s="20"/>
      <c r="H6981"/>
      <c r="I6981"/>
    </row>
    <row r="6982" spans="2:9" ht="15" x14ac:dyDescent="0.25">
      <c r="B6982"/>
      <c r="C6982"/>
      <c r="D6982"/>
      <c r="E6982"/>
      <c r="F6982"/>
      <c r="G6982" s="20"/>
      <c r="H6982"/>
      <c r="I6982"/>
    </row>
    <row r="6983" spans="2:9" ht="15" x14ac:dyDescent="0.25">
      <c r="B6983"/>
      <c r="C6983"/>
      <c r="D6983"/>
      <c r="E6983"/>
      <c r="F6983"/>
      <c r="G6983" s="20"/>
      <c r="H6983"/>
      <c r="I6983"/>
    </row>
    <row r="6984" spans="2:9" ht="15" x14ac:dyDescent="0.25">
      <c r="B6984"/>
      <c r="C6984"/>
      <c r="D6984"/>
      <c r="E6984"/>
      <c r="F6984"/>
      <c r="G6984" s="20"/>
      <c r="H6984"/>
      <c r="I6984"/>
    </row>
    <row r="6985" spans="2:9" ht="15" x14ac:dyDescent="0.25">
      <c r="B6985"/>
      <c r="C6985"/>
      <c r="D6985"/>
      <c r="E6985"/>
      <c r="F6985"/>
      <c r="G6985" s="20"/>
      <c r="H6985"/>
      <c r="I6985"/>
    </row>
    <row r="6986" spans="2:9" ht="15" x14ac:dyDescent="0.25">
      <c r="B6986"/>
      <c r="C6986"/>
      <c r="D6986"/>
      <c r="E6986"/>
      <c r="F6986"/>
      <c r="G6986" s="20"/>
      <c r="H6986"/>
      <c r="I6986"/>
    </row>
    <row r="6987" spans="2:9" ht="15" x14ac:dyDescent="0.25">
      <c r="B6987"/>
      <c r="C6987"/>
      <c r="D6987"/>
      <c r="E6987"/>
      <c r="F6987"/>
      <c r="G6987" s="20"/>
      <c r="H6987"/>
      <c r="I6987"/>
    </row>
    <row r="6988" spans="2:9" ht="15" x14ac:dyDescent="0.25">
      <c r="B6988"/>
      <c r="C6988"/>
      <c r="D6988"/>
      <c r="E6988"/>
      <c r="F6988"/>
      <c r="G6988" s="20"/>
      <c r="H6988"/>
      <c r="I6988"/>
    </row>
    <row r="6989" spans="2:9" ht="15" x14ac:dyDescent="0.25">
      <c r="B6989"/>
      <c r="C6989"/>
      <c r="D6989"/>
      <c r="E6989"/>
      <c r="F6989"/>
      <c r="G6989" s="20"/>
      <c r="H6989"/>
      <c r="I6989"/>
    </row>
    <row r="6990" spans="2:9" ht="15" x14ac:dyDescent="0.25">
      <c r="B6990"/>
      <c r="C6990"/>
      <c r="D6990"/>
      <c r="E6990"/>
      <c r="F6990"/>
      <c r="G6990" s="20"/>
      <c r="H6990"/>
      <c r="I6990"/>
    </row>
    <row r="6991" spans="2:9" ht="15" x14ac:dyDescent="0.25">
      <c r="B6991"/>
      <c r="C6991"/>
      <c r="D6991"/>
      <c r="E6991"/>
      <c r="F6991"/>
      <c r="G6991" s="20"/>
      <c r="H6991"/>
      <c r="I6991"/>
    </row>
    <row r="6992" spans="2:9" ht="15" x14ac:dyDescent="0.25">
      <c r="B6992"/>
      <c r="C6992"/>
      <c r="D6992"/>
      <c r="E6992"/>
      <c r="F6992"/>
      <c r="G6992" s="20"/>
      <c r="H6992"/>
      <c r="I6992"/>
    </row>
    <row r="6993" spans="2:9" ht="15" x14ac:dyDescent="0.25">
      <c r="B6993"/>
      <c r="C6993"/>
      <c r="D6993"/>
      <c r="E6993"/>
      <c r="F6993"/>
      <c r="G6993" s="20"/>
      <c r="H6993"/>
      <c r="I6993"/>
    </row>
    <row r="6994" spans="2:9" ht="15" x14ac:dyDescent="0.25">
      <c r="B6994"/>
      <c r="C6994"/>
      <c r="D6994"/>
      <c r="E6994"/>
      <c r="F6994"/>
      <c r="G6994" s="20"/>
      <c r="H6994"/>
      <c r="I6994"/>
    </row>
    <row r="6995" spans="2:9" ht="15" x14ac:dyDescent="0.25">
      <c r="B6995"/>
      <c r="C6995"/>
      <c r="D6995"/>
      <c r="E6995"/>
      <c r="F6995"/>
      <c r="G6995" s="20"/>
      <c r="H6995"/>
      <c r="I6995"/>
    </row>
    <row r="6996" spans="2:9" ht="15" x14ac:dyDescent="0.25">
      <c r="B6996"/>
      <c r="C6996"/>
      <c r="D6996"/>
      <c r="E6996"/>
      <c r="F6996"/>
      <c r="G6996" s="20"/>
      <c r="H6996"/>
      <c r="I6996"/>
    </row>
    <row r="6997" spans="2:9" ht="15" x14ac:dyDescent="0.25">
      <c r="B6997"/>
      <c r="C6997"/>
      <c r="D6997"/>
      <c r="E6997"/>
      <c r="F6997"/>
      <c r="G6997" s="20"/>
      <c r="H6997"/>
      <c r="I6997"/>
    </row>
    <row r="6998" spans="2:9" ht="15" x14ac:dyDescent="0.25">
      <c r="B6998"/>
      <c r="C6998"/>
      <c r="D6998"/>
      <c r="E6998"/>
      <c r="F6998"/>
      <c r="G6998" s="20"/>
      <c r="H6998"/>
      <c r="I6998"/>
    </row>
    <row r="6999" spans="2:9" ht="15" x14ac:dyDescent="0.25">
      <c r="B6999"/>
      <c r="C6999"/>
      <c r="D6999"/>
      <c r="E6999"/>
      <c r="F6999"/>
      <c r="G6999" s="20"/>
      <c r="H6999"/>
      <c r="I6999"/>
    </row>
    <row r="7000" spans="2:9" ht="15" x14ac:dyDescent="0.25">
      <c r="B7000"/>
      <c r="C7000"/>
      <c r="D7000"/>
      <c r="E7000"/>
      <c r="F7000"/>
      <c r="G7000" s="20"/>
      <c r="H7000"/>
      <c r="I7000"/>
    </row>
    <row r="7001" spans="2:9" ht="15" x14ac:dyDescent="0.25">
      <c r="B7001"/>
      <c r="C7001"/>
      <c r="D7001"/>
      <c r="E7001"/>
      <c r="F7001"/>
      <c r="G7001" s="20"/>
      <c r="H7001"/>
      <c r="I7001"/>
    </row>
    <row r="7002" spans="2:9" ht="15" x14ac:dyDescent="0.25">
      <c r="B7002"/>
      <c r="C7002"/>
      <c r="D7002"/>
      <c r="E7002"/>
      <c r="F7002"/>
      <c r="G7002" s="20"/>
      <c r="H7002"/>
      <c r="I7002"/>
    </row>
    <row r="7003" spans="2:9" ht="15" x14ac:dyDescent="0.25">
      <c r="B7003"/>
      <c r="C7003"/>
      <c r="D7003"/>
      <c r="E7003"/>
      <c r="F7003"/>
      <c r="G7003" s="20"/>
      <c r="H7003"/>
      <c r="I7003"/>
    </row>
    <row r="7004" spans="2:9" ht="15" x14ac:dyDescent="0.25">
      <c r="B7004"/>
      <c r="C7004"/>
      <c r="D7004"/>
      <c r="E7004"/>
      <c r="F7004"/>
      <c r="G7004" s="20"/>
      <c r="H7004"/>
      <c r="I7004"/>
    </row>
    <row r="7005" spans="2:9" ht="15" x14ac:dyDescent="0.25">
      <c r="B7005"/>
      <c r="C7005"/>
      <c r="D7005"/>
      <c r="E7005"/>
      <c r="F7005"/>
      <c r="G7005" s="20"/>
      <c r="H7005"/>
      <c r="I7005"/>
    </row>
    <row r="7006" spans="2:9" ht="15" x14ac:dyDescent="0.25">
      <c r="B7006"/>
      <c r="C7006"/>
      <c r="D7006"/>
      <c r="E7006"/>
      <c r="F7006"/>
      <c r="G7006" s="20"/>
      <c r="H7006"/>
      <c r="I7006"/>
    </row>
    <row r="7007" spans="2:9" ht="15" x14ac:dyDescent="0.25">
      <c r="B7007"/>
      <c r="C7007"/>
      <c r="D7007"/>
      <c r="E7007"/>
      <c r="F7007"/>
      <c r="G7007" s="20"/>
      <c r="H7007"/>
      <c r="I7007"/>
    </row>
    <row r="7008" spans="2:9" ht="15" x14ac:dyDescent="0.25">
      <c r="B7008"/>
      <c r="C7008"/>
      <c r="D7008"/>
      <c r="E7008"/>
      <c r="F7008"/>
      <c r="G7008" s="20"/>
      <c r="H7008"/>
      <c r="I7008"/>
    </row>
    <row r="7009" spans="2:9" ht="15" x14ac:dyDescent="0.25">
      <c r="B7009"/>
      <c r="C7009"/>
      <c r="D7009"/>
      <c r="E7009"/>
      <c r="F7009"/>
      <c r="G7009" s="20"/>
      <c r="H7009"/>
      <c r="I7009"/>
    </row>
    <row r="7010" spans="2:9" ht="15" x14ac:dyDescent="0.25">
      <c r="B7010"/>
      <c r="C7010"/>
      <c r="D7010"/>
      <c r="E7010"/>
      <c r="F7010"/>
      <c r="G7010" s="20"/>
      <c r="H7010"/>
      <c r="I7010"/>
    </row>
    <row r="7011" spans="2:9" ht="15" x14ac:dyDescent="0.25">
      <c r="B7011"/>
      <c r="C7011"/>
      <c r="D7011"/>
      <c r="E7011"/>
      <c r="F7011"/>
      <c r="G7011" s="20"/>
      <c r="H7011"/>
      <c r="I7011"/>
    </row>
    <row r="7012" spans="2:9" ht="15" x14ac:dyDescent="0.25">
      <c r="B7012"/>
      <c r="C7012"/>
      <c r="D7012"/>
      <c r="E7012"/>
      <c r="F7012"/>
      <c r="G7012" s="20"/>
      <c r="H7012"/>
      <c r="I7012"/>
    </row>
    <row r="7013" spans="2:9" ht="15" x14ac:dyDescent="0.25">
      <c r="B7013"/>
      <c r="C7013"/>
      <c r="D7013"/>
      <c r="E7013"/>
      <c r="F7013"/>
      <c r="G7013" s="20"/>
      <c r="H7013"/>
      <c r="I7013"/>
    </row>
    <row r="7014" spans="2:9" ht="15" x14ac:dyDescent="0.25">
      <c r="B7014"/>
      <c r="C7014"/>
      <c r="D7014"/>
      <c r="E7014"/>
      <c r="F7014"/>
      <c r="G7014" s="20"/>
      <c r="H7014"/>
      <c r="I7014"/>
    </row>
    <row r="7015" spans="2:9" ht="15" x14ac:dyDescent="0.25">
      <c r="B7015"/>
      <c r="C7015"/>
      <c r="D7015"/>
      <c r="E7015"/>
      <c r="F7015"/>
      <c r="G7015" s="20"/>
      <c r="H7015"/>
      <c r="I7015"/>
    </row>
    <row r="7016" spans="2:9" ht="15" x14ac:dyDescent="0.25">
      <c r="B7016"/>
      <c r="C7016"/>
      <c r="D7016"/>
      <c r="E7016"/>
      <c r="F7016"/>
      <c r="G7016" s="20"/>
      <c r="H7016"/>
      <c r="I7016"/>
    </row>
    <row r="7017" spans="2:9" ht="15" x14ac:dyDescent="0.25">
      <c r="B7017"/>
      <c r="C7017"/>
      <c r="D7017"/>
      <c r="E7017"/>
      <c r="F7017"/>
      <c r="G7017" s="20"/>
      <c r="H7017"/>
      <c r="I7017"/>
    </row>
    <row r="7018" spans="2:9" ht="15" x14ac:dyDescent="0.25">
      <c r="B7018"/>
      <c r="C7018"/>
      <c r="D7018"/>
      <c r="E7018"/>
      <c r="F7018"/>
      <c r="G7018" s="20"/>
      <c r="H7018"/>
      <c r="I7018"/>
    </row>
    <row r="7019" spans="2:9" ht="15" x14ac:dyDescent="0.25">
      <c r="B7019"/>
      <c r="C7019"/>
      <c r="D7019"/>
      <c r="E7019"/>
      <c r="F7019"/>
      <c r="G7019" s="20"/>
      <c r="H7019"/>
      <c r="I7019"/>
    </row>
    <row r="7020" spans="2:9" ht="15" x14ac:dyDescent="0.25">
      <c r="B7020"/>
      <c r="C7020"/>
      <c r="D7020"/>
      <c r="E7020"/>
      <c r="F7020"/>
      <c r="G7020" s="20"/>
      <c r="H7020"/>
      <c r="I7020"/>
    </row>
    <row r="7021" spans="2:9" ht="15" x14ac:dyDescent="0.25">
      <c r="B7021"/>
      <c r="C7021"/>
      <c r="D7021"/>
      <c r="E7021"/>
      <c r="F7021"/>
      <c r="G7021" s="20"/>
      <c r="H7021"/>
      <c r="I7021"/>
    </row>
    <row r="7022" spans="2:9" ht="15" x14ac:dyDescent="0.25">
      <c r="B7022"/>
      <c r="C7022"/>
      <c r="D7022"/>
      <c r="E7022"/>
      <c r="F7022"/>
      <c r="G7022" s="20"/>
      <c r="H7022"/>
      <c r="I7022"/>
    </row>
    <row r="7023" spans="2:9" ht="15" x14ac:dyDescent="0.25">
      <c r="B7023"/>
      <c r="C7023"/>
      <c r="D7023"/>
      <c r="E7023"/>
      <c r="F7023"/>
      <c r="G7023" s="20"/>
      <c r="H7023"/>
      <c r="I7023"/>
    </row>
    <row r="7024" spans="2:9" ht="15" x14ac:dyDescent="0.25">
      <c r="B7024"/>
      <c r="C7024"/>
      <c r="D7024"/>
      <c r="E7024"/>
      <c r="F7024"/>
      <c r="G7024" s="20"/>
      <c r="H7024"/>
      <c r="I7024"/>
    </row>
    <row r="7025" spans="2:9" ht="15" x14ac:dyDescent="0.25">
      <c r="B7025"/>
      <c r="C7025"/>
      <c r="D7025"/>
      <c r="E7025"/>
      <c r="F7025"/>
      <c r="G7025" s="20"/>
      <c r="H7025"/>
      <c r="I7025"/>
    </row>
    <row r="7026" spans="2:9" ht="15" x14ac:dyDescent="0.25">
      <c r="B7026"/>
      <c r="C7026"/>
      <c r="D7026"/>
      <c r="E7026"/>
      <c r="F7026"/>
      <c r="G7026" s="20"/>
      <c r="H7026"/>
      <c r="I7026"/>
    </row>
    <row r="7027" spans="2:9" ht="15" x14ac:dyDescent="0.25">
      <c r="B7027"/>
      <c r="C7027"/>
      <c r="D7027"/>
      <c r="E7027"/>
      <c r="F7027"/>
      <c r="G7027" s="20"/>
      <c r="H7027"/>
      <c r="I7027"/>
    </row>
    <row r="7028" spans="2:9" ht="15" x14ac:dyDescent="0.25">
      <c r="B7028"/>
      <c r="C7028"/>
      <c r="D7028"/>
      <c r="E7028"/>
      <c r="F7028"/>
      <c r="G7028" s="20"/>
      <c r="H7028"/>
      <c r="I7028"/>
    </row>
    <row r="7029" spans="2:9" ht="15" x14ac:dyDescent="0.25">
      <c r="B7029"/>
      <c r="C7029"/>
      <c r="D7029"/>
      <c r="E7029"/>
      <c r="F7029"/>
      <c r="G7029" s="20"/>
      <c r="H7029"/>
      <c r="I7029"/>
    </row>
    <row r="7030" spans="2:9" ht="15" x14ac:dyDescent="0.25">
      <c r="B7030"/>
      <c r="C7030"/>
      <c r="D7030"/>
      <c r="E7030"/>
      <c r="F7030"/>
      <c r="G7030" s="20"/>
      <c r="H7030"/>
      <c r="I7030"/>
    </row>
    <row r="7031" spans="2:9" ht="15" x14ac:dyDescent="0.25">
      <c r="B7031"/>
      <c r="C7031"/>
      <c r="D7031"/>
      <c r="E7031"/>
      <c r="F7031"/>
      <c r="G7031" s="20"/>
      <c r="H7031"/>
      <c r="I7031"/>
    </row>
    <row r="7032" spans="2:9" ht="15" x14ac:dyDescent="0.25">
      <c r="B7032"/>
      <c r="C7032"/>
      <c r="D7032"/>
      <c r="E7032"/>
      <c r="F7032"/>
      <c r="G7032" s="20"/>
      <c r="H7032"/>
      <c r="I7032"/>
    </row>
    <row r="7033" spans="2:9" ht="15" x14ac:dyDescent="0.25">
      <c r="B7033"/>
      <c r="C7033"/>
      <c r="D7033"/>
      <c r="E7033"/>
      <c r="F7033"/>
      <c r="G7033" s="20"/>
      <c r="H7033"/>
      <c r="I7033"/>
    </row>
    <row r="7034" spans="2:9" ht="15" x14ac:dyDescent="0.25">
      <c r="B7034"/>
      <c r="C7034"/>
      <c r="D7034"/>
      <c r="E7034"/>
      <c r="F7034"/>
      <c r="G7034" s="20"/>
      <c r="H7034"/>
      <c r="I7034"/>
    </row>
    <row r="7035" spans="2:9" ht="15" x14ac:dyDescent="0.25">
      <c r="B7035"/>
      <c r="C7035"/>
      <c r="D7035"/>
      <c r="E7035"/>
      <c r="F7035"/>
      <c r="G7035" s="20"/>
      <c r="H7035"/>
      <c r="I7035"/>
    </row>
    <row r="7036" spans="2:9" ht="15" x14ac:dyDescent="0.25">
      <c r="B7036"/>
      <c r="C7036"/>
      <c r="D7036"/>
      <c r="E7036"/>
      <c r="F7036"/>
      <c r="G7036" s="20"/>
      <c r="H7036"/>
      <c r="I7036"/>
    </row>
    <row r="7037" spans="2:9" ht="15" x14ac:dyDescent="0.25">
      <c r="B7037"/>
      <c r="C7037"/>
      <c r="D7037"/>
      <c r="E7037"/>
      <c r="F7037"/>
      <c r="G7037" s="20"/>
      <c r="H7037"/>
      <c r="I7037"/>
    </row>
    <row r="7038" spans="2:9" ht="15" x14ac:dyDescent="0.25">
      <c r="B7038"/>
      <c r="C7038"/>
      <c r="D7038"/>
      <c r="E7038"/>
      <c r="F7038"/>
      <c r="G7038" s="20"/>
      <c r="H7038"/>
      <c r="I7038"/>
    </row>
    <row r="7039" spans="2:9" ht="15" x14ac:dyDescent="0.25">
      <c r="B7039"/>
      <c r="C7039"/>
      <c r="D7039"/>
      <c r="E7039"/>
      <c r="F7039"/>
      <c r="G7039" s="20"/>
      <c r="H7039"/>
      <c r="I7039"/>
    </row>
    <row r="7040" spans="2:9" ht="15" x14ac:dyDescent="0.25">
      <c r="B7040"/>
      <c r="C7040"/>
      <c r="D7040"/>
      <c r="E7040"/>
      <c r="F7040"/>
      <c r="G7040" s="20"/>
      <c r="H7040"/>
      <c r="I7040"/>
    </row>
    <row r="7041" spans="2:9" ht="15" x14ac:dyDescent="0.25">
      <c r="B7041"/>
      <c r="C7041"/>
      <c r="D7041"/>
      <c r="E7041"/>
      <c r="F7041"/>
      <c r="G7041" s="20"/>
      <c r="H7041"/>
      <c r="I7041"/>
    </row>
    <row r="7042" spans="2:9" ht="15" x14ac:dyDescent="0.25">
      <c r="B7042"/>
      <c r="C7042"/>
      <c r="D7042"/>
      <c r="E7042"/>
      <c r="F7042"/>
      <c r="G7042" s="20"/>
      <c r="H7042"/>
      <c r="I7042"/>
    </row>
    <row r="7043" spans="2:9" ht="15" x14ac:dyDescent="0.25">
      <c r="B7043"/>
      <c r="C7043"/>
      <c r="D7043"/>
      <c r="E7043"/>
      <c r="F7043"/>
      <c r="G7043" s="20"/>
      <c r="H7043"/>
      <c r="I7043"/>
    </row>
    <row r="7044" spans="2:9" ht="15" x14ac:dyDescent="0.25">
      <c r="B7044"/>
      <c r="C7044"/>
      <c r="D7044"/>
      <c r="E7044"/>
      <c r="F7044"/>
      <c r="G7044" s="20"/>
      <c r="H7044"/>
      <c r="I7044"/>
    </row>
    <row r="7045" spans="2:9" ht="15" x14ac:dyDescent="0.25">
      <c r="B7045"/>
      <c r="C7045"/>
      <c r="D7045"/>
      <c r="E7045"/>
      <c r="F7045"/>
      <c r="G7045" s="20"/>
      <c r="H7045"/>
      <c r="I7045"/>
    </row>
    <row r="7046" spans="2:9" ht="15" x14ac:dyDescent="0.25">
      <c r="B7046"/>
      <c r="C7046"/>
      <c r="D7046"/>
      <c r="E7046"/>
      <c r="F7046"/>
      <c r="G7046" s="20"/>
      <c r="H7046"/>
      <c r="I7046"/>
    </row>
    <row r="7047" spans="2:9" ht="15" x14ac:dyDescent="0.25">
      <c r="B7047"/>
      <c r="C7047"/>
      <c r="D7047"/>
      <c r="E7047"/>
      <c r="F7047"/>
      <c r="G7047" s="20"/>
      <c r="H7047"/>
      <c r="I7047"/>
    </row>
    <row r="7048" spans="2:9" ht="15" x14ac:dyDescent="0.25">
      <c r="B7048"/>
      <c r="C7048"/>
      <c r="D7048"/>
      <c r="E7048"/>
      <c r="F7048"/>
      <c r="G7048" s="20"/>
      <c r="H7048"/>
      <c r="I7048"/>
    </row>
    <row r="7049" spans="2:9" ht="15" x14ac:dyDescent="0.25">
      <c r="B7049"/>
      <c r="C7049"/>
      <c r="D7049"/>
      <c r="E7049"/>
      <c r="F7049"/>
      <c r="G7049" s="20"/>
      <c r="H7049"/>
      <c r="I7049"/>
    </row>
    <row r="7050" spans="2:9" ht="15" x14ac:dyDescent="0.25">
      <c r="B7050"/>
      <c r="C7050"/>
      <c r="D7050"/>
      <c r="E7050"/>
      <c r="F7050"/>
      <c r="G7050" s="20"/>
      <c r="H7050"/>
      <c r="I7050"/>
    </row>
    <row r="7051" spans="2:9" ht="15" x14ac:dyDescent="0.25">
      <c r="B7051"/>
      <c r="C7051"/>
      <c r="D7051"/>
      <c r="E7051"/>
      <c r="F7051"/>
      <c r="G7051" s="20"/>
      <c r="H7051"/>
      <c r="I7051"/>
    </row>
    <row r="7052" spans="2:9" ht="15" x14ac:dyDescent="0.25">
      <c r="B7052"/>
      <c r="C7052"/>
      <c r="D7052"/>
      <c r="E7052"/>
      <c r="F7052"/>
      <c r="G7052" s="20"/>
      <c r="H7052"/>
      <c r="I7052"/>
    </row>
    <row r="7053" spans="2:9" ht="15" x14ac:dyDescent="0.25">
      <c r="B7053"/>
      <c r="C7053"/>
      <c r="D7053"/>
      <c r="E7053"/>
      <c r="F7053"/>
      <c r="G7053" s="20"/>
      <c r="H7053"/>
      <c r="I7053"/>
    </row>
    <row r="7054" spans="2:9" ht="15" x14ac:dyDescent="0.25">
      <c r="B7054"/>
      <c r="C7054"/>
      <c r="D7054"/>
      <c r="E7054"/>
      <c r="F7054"/>
      <c r="G7054" s="20"/>
      <c r="H7054"/>
      <c r="I7054"/>
    </row>
    <row r="7055" spans="2:9" ht="15" x14ac:dyDescent="0.25">
      <c r="B7055"/>
      <c r="C7055"/>
      <c r="D7055"/>
      <c r="E7055"/>
      <c r="F7055"/>
      <c r="G7055" s="20"/>
      <c r="H7055"/>
      <c r="I7055"/>
    </row>
    <row r="7056" spans="2:9" ht="15" x14ac:dyDescent="0.25">
      <c r="B7056"/>
      <c r="C7056"/>
      <c r="D7056"/>
      <c r="E7056"/>
      <c r="F7056"/>
      <c r="G7056" s="20"/>
      <c r="H7056"/>
      <c r="I7056"/>
    </row>
    <row r="7057" spans="2:9" ht="15" x14ac:dyDescent="0.25">
      <c r="B7057"/>
      <c r="C7057"/>
      <c r="D7057"/>
      <c r="E7057"/>
      <c r="F7057"/>
      <c r="G7057" s="20"/>
      <c r="H7057"/>
      <c r="I7057"/>
    </row>
    <row r="7058" spans="2:9" ht="15" x14ac:dyDescent="0.25">
      <c r="B7058"/>
      <c r="C7058"/>
      <c r="D7058"/>
      <c r="E7058"/>
      <c r="F7058"/>
      <c r="G7058" s="20"/>
      <c r="H7058"/>
      <c r="I7058"/>
    </row>
    <row r="7059" spans="2:9" ht="15" x14ac:dyDescent="0.25">
      <c r="B7059"/>
      <c r="C7059"/>
      <c r="D7059"/>
      <c r="E7059"/>
      <c r="F7059"/>
      <c r="G7059" s="20"/>
      <c r="H7059"/>
      <c r="I7059"/>
    </row>
    <row r="7060" spans="2:9" ht="15" x14ac:dyDescent="0.25">
      <c r="B7060"/>
      <c r="C7060"/>
      <c r="D7060"/>
      <c r="E7060"/>
      <c r="F7060"/>
      <c r="G7060" s="20"/>
      <c r="H7060"/>
      <c r="I7060"/>
    </row>
    <row r="7061" spans="2:9" ht="15" x14ac:dyDescent="0.25">
      <c r="B7061"/>
      <c r="C7061"/>
      <c r="D7061"/>
      <c r="E7061"/>
      <c r="F7061"/>
      <c r="G7061" s="20"/>
      <c r="H7061"/>
      <c r="I7061"/>
    </row>
    <row r="7062" spans="2:9" ht="15" x14ac:dyDescent="0.25">
      <c r="B7062"/>
      <c r="C7062"/>
      <c r="D7062"/>
      <c r="E7062"/>
      <c r="F7062"/>
      <c r="G7062" s="20"/>
      <c r="H7062"/>
      <c r="I7062"/>
    </row>
    <row r="7063" spans="2:9" ht="15" x14ac:dyDescent="0.25">
      <c r="B7063"/>
      <c r="C7063"/>
      <c r="D7063"/>
      <c r="E7063"/>
      <c r="F7063"/>
      <c r="G7063" s="20"/>
      <c r="H7063"/>
      <c r="I7063"/>
    </row>
    <row r="7064" spans="2:9" ht="15" x14ac:dyDescent="0.25">
      <c r="B7064"/>
      <c r="C7064"/>
      <c r="D7064"/>
      <c r="E7064"/>
      <c r="F7064"/>
      <c r="G7064" s="20"/>
      <c r="H7064"/>
      <c r="I7064"/>
    </row>
    <row r="7065" spans="2:9" ht="15" x14ac:dyDescent="0.25">
      <c r="B7065"/>
      <c r="C7065"/>
      <c r="D7065"/>
      <c r="E7065"/>
      <c r="F7065"/>
      <c r="G7065" s="20"/>
      <c r="H7065"/>
      <c r="I7065"/>
    </row>
    <row r="7066" spans="2:9" ht="15" x14ac:dyDescent="0.25">
      <c r="B7066"/>
      <c r="C7066"/>
      <c r="D7066"/>
      <c r="E7066"/>
      <c r="F7066"/>
      <c r="G7066" s="20"/>
      <c r="H7066"/>
      <c r="I7066"/>
    </row>
    <row r="7067" spans="2:9" ht="15" x14ac:dyDescent="0.25">
      <c r="B7067"/>
      <c r="C7067"/>
      <c r="D7067"/>
      <c r="E7067"/>
      <c r="F7067"/>
      <c r="G7067" s="20"/>
      <c r="H7067"/>
      <c r="I7067"/>
    </row>
    <row r="7068" spans="2:9" ht="15" x14ac:dyDescent="0.25">
      <c r="B7068"/>
      <c r="C7068"/>
      <c r="D7068"/>
      <c r="E7068"/>
      <c r="F7068"/>
      <c r="G7068" s="20"/>
      <c r="H7068"/>
      <c r="I7068"/>
    </row>
    <row r="7069" spans="2:9" ht="15" x14ac:dyDescent="0.25">
      <c r="B7069"/>
      <c r="C7069"/>
      <c r="D7069"/>
      <c r="E7069"/>
      <c r="F7069"/>
      <c r="G7069" s="20"/>
      <c r="H7069"/>
      <c r="I7069"/>
    </row>
    <row r="7070" spans="2:9" ht="15" x14ac:dyDescent="0.25">
      <c r="B7070"/>
      <c r="C7070"/>
      <c r="D7070"/>
      <c r="E7070"/>
      <c r="F7070"/>
      <c r="G7070" s="20"/>
      <c r="H7070"/>
      <c r="I7070"/>
    </row>
    <row r="7071" spans="2:9" ht="15" x14ac:dyDescent="0.25">
      <c r="B7071"/>
      <c r="C7071"/>
      <c r="D7071"/>
      <c r="E7071"/>
      <c r="F7071"/>
      <c r="G7071" s="20"/>
      <c r="H7071"/>
      <c r="I7071"/>
    </row>
    <row r="7072" spans="2:9" ht="15" x14ac:dyDescent="0.25">
      <c r="B7072"/>
      <c r="C7072"/>
      <c r="D7072"/>
      <c r="E7072"/>
      <c r="F7072"/>
      <c r="G7072" s="20"/>
      <c r="H7072"/>
      <c r="I7072"/>
    </row>
    <row r="7073" spans="2:9" ht="15" x14ac:dyDescent="0.25">
      <c r="B7073"/>
      <c r="C7073"/>
      <c r="D7073"/>
      <c r="E7073"/>
      <c r="F7073"/>
      <c r="G7073" s="20"/>
      <c r="H7073"/>
      <c r="I7073"/>
    </row>
    <row r="7074" spans="2:9" ht="15" x14ac:dyDescent="0.25">
      <c r="B7074"/>
      <c r="C7074"/>
      <c r="D7074"/>
      <c r="E7074"/>
      <c r="F7074"/>
      <c r="G7074" s="20"/>
      <c r="H7074"/>
      <c r="I7074"/>
    </row>
    <row r="7075" spans="2:9" ht="15" x14ac:dyDescent="0.25">
      <c r="B7075"/>
      <c r="C7075"/>
      <c r="D7075"/>
      <c r="E7075"/>
      <c r="F7075"/>
      <c r="G7075" s="20"/>
      <c r="H7075"/>
      <c r="I7075"/>
    </row>
    <row r="7076" spans="2:9" ht="15" x14ac:dyDescent="0.25">
      <c r="B7076"/>
      <c r="C7076"/>
      <c r="D7076"/>
      <c r="E7076"/>
      <c r="F7076"/>
      <c r="G7076" s="20"/>
      <c r="H7076"/>
      <c r="I7076"/>
    </row>
    <row r="7077" spans="2:9" ht="15" x14ac:dyDescent="0.25">
      <c r="B7077"/>
      <c r="C7077"/>
      <c r="D7077"/>
      <c r="E7077"/>
      <c r="F7077"/>
      <c r="G7077" s="20"/>
      <c r="H7077"/>
      <c r="I7077"/>
    </row>
    <row r="7078" spans="2:9" ht="15" x14ac:dyDescent="0.25">
      <c r="B7078"/>
      <c r="C7078"/>
      <c r="D7078"/>
      <c r="E7078"/>
      <c r="F7078"/>
      <c r="G7078" s="20"/>
      <c r="H7078"/>
      <c r="I7078"/>
    </row>
    <row r="7079" spans="2:9" ht="15" x14ac:dyDescent="0.25">
      <c r="B7079"/>
      <c r="C7079"/>
      <c r="D7079"/>
      <c r="E7079"/>
      <c r="F7079"/>
      <c r="G7079" s="20"/>
      <c r="H7079"/>
      <c r="I7079"/>
    </row>
    <row r="7080" spans="2:9" ht="15" x14ac:dyDescent="0.25">
      <c r="B7080"/>
      <c r="C7080"/>
      <c r="D7080"/>
      <c r="E7080"/>
      <c r="F7080"/>
      <c r="G7080" s="20"/>
      <c r="H7080"/>
      <c r="I7080"/>
    </row>
    <row r="7081" spans="2:9" ht="15" x14ac:dyDescent="0.25">
      <c r="B7081"/>
      <c r="C7081"/>
      <c r="D7081"/>
      <c r="E7081"/>
      <c r="F7081"/>
      <c r="G7081" s="20"/>
      <c r="H7081"/>
      <c r="I7081"/>
    </row>
    <row r="7082" spans="2:9" ht="15" x14ac:dyDescent="0.25">
      <c r="B7082"/>
      <c r="C7082"/>
      <c r="D7082"/>
      <c r="E7082"/>
      <c r="F7082"/>
      <c r="G7082" s="20"/>
      <c r="H7082"/>
      <c r="I7082"/>
    </row>
    <row r="7083" spans="2:9" ht="15" x14ac:dyDescent="0.25">
      <c r="B7083"/>
      <c r="C7083"/>
      <c r="D7083"/>
      <c r="E7083"/>
      <c r="F7083"/>
      <c r="G7083" s="20"/>
      <c r="H7083"/>
      <c r="I7083"/>
    </row>
    <row r="7084" spans="2:9" ht="15" x14ac:dyDescent="0.25">
      <c r="B7084"/>
      <c r="C7084"/>
      <c r="D7084"/>
      <c r="E7084"/>
      <c r="F7084"/>
      <c r="G7084" s="20"/>
      <c r="H7084"/>
      <c r="I7084"/>
    </row>
    <row r="7085" spans="2:9" ht="15" x14ac:dyDescent="0.25">
      <c r="B7085"/>
      <c r="C7085"/>
      <c r="D7085"/>
      <c r="E7085"/>
      <c r="F7085"/>
      <c r="G7085" s="20"/>
      <c r="H7085"/>
      <c r="I7085"/>
    </row>
    <row r="7086" spans="2:9" ht="15" x14ac:dyDescent="0.25">
      <c r="B7086"/>
      <c r="C7086"/>
      <c r="D7086"/>
      <c r="E7086"/>
      <c r="F7086"/>
      <c r="G7086" s="20"/>
      <c r="H7086"/>
      <c r="I7086"/>
    </row>
    <row r="7087" spans="2:9" ht="15" x14ac:dyDescent="0.25">
      <c r="B7087"/>
      <c r="C7087"/>
      <c r="D7087"/>
      <c r="E7087"/>
      <c r="F7087"/>
      <c r="G7087" s="20"/>
      <c r="H7087"/>
      <c r="I7087"/>
    </row>
    <row r="7088" spans="2:9" ht="15" x14ac:dyDescent="0.25">
      <c r="B7088"/>
      <c r="C7088"/>
      <c r="D7088"/>
      <c r="E7088"/>
      <c r="F7088"/>
      <c r="G7088" s="20"/>
      <c r="H7088"/>
      <c r="I7088"/>
    </row>
    <row r="7089" spans="2:9" ht="15" x14ac:dyDescent="0.25">
      <c r="B7089"/>
      <c r="C7089"/>
      <c r="D7089"/>
      <c r="E7089"/>
      <c r="F7089"/>
      <c r="G7089" s="20"/>
      <c r="H7089"/>
      <c r="I7089"/>
    </row>
    <row r="7090" spans="2:9" ht="15" x14ac:dyDescent="0.25">
      <c r="B7090"/>
      <c r="C7090"/>
      <c r="D7090"/>
      <c r="E7090"/>
      <c r="F7090"/>
      <c r="G7090" s="20"/>
      <c r="H7090"/>
      <c r="I7090"/>
    </row>
    <row r="7091" spans="2:9" ht="15" x14ac:dyDescent="0.25">
      <c r="B7091"/>
      <c r="C7091"/>
      <c r="D7091"/>
      <c r="E7091"/>
      <c r="F7091"/>
      <c r="G7091" s="20"/>
      <c r="H7091"/>
      <c r="I7091"/>
    </row>
    <row r="7092" spans="2:9" ht="15" x14ac:dyDescent="0.25">
      <c r="B7092"/>
      <c r="C7092"/>
      <c r="D7092"/>
      <c r="E7092"/>
      <c r="F7092"/>
      <c r="G7092" s="20"/>
      <c r="H7092"/>
      <c r="I7092"/>
    </row>
    <row r="7093" spans="2:9" ht="15" x14ac:dyDescent="0.25">
      <c r="B7093"/>
      <c r="C7093"/>
      <c r="D7093"/>
      <c r="E7093"/>
      <c r="F7093"/>
      <c r="G7093" s="20"/>
      <c r="H7093"/>
      <c r="I7093"/>
    </row>
    <row r="7094" spans="2:9" ht="15" x14ac:dyDescent="0.25">
      <c r="B7094"/>
      <c r="C7094"/>
      <c r="D7094"/>
      <c r="E7094"/>
      <c r="F7094"/>
      <c r="G7094" s="20"/>
      <c r="H7094"/>
      <c r="I7094"/>
    </row>
    <row r="7095" spans="2:9" ht="15" x14ac:dyDescent="0.25">
      <c r="B7095"/>
      <c r="C7095"/>
      <c r="D7095"/>
      <c r="E7095"/>
      <c r="F7095"/>
      <c r="G7095" s="20"/>
      <c r="H7095"/>
      <c r="I7095"/>
    </row>
    <row r="7096" spans="2:9" ht="15" x14ac:dyDescent="0.25">
      <c r="B7096"/>
      <c r="C7096"/>
      <c r="D7096"/>
      <c r="E7096"/>
      <c r="F7096"/>
      <c r="G7096" s="20"/>
      <c r="H7096"/>
      <c r="I7096"/>
    </row>
    <row r="7097" spans="2:9" ht="15" x14ac:dyDescent="0.25">
      <c r="B7097"/>
      <c r="C7097"/>
      <c r="D7097"/>
      <c r="E7097"/>
      <c r="F7097"/>
      <c r="G7097" s="20"/>
      <c r="H7097"/>
      <c r="I7097"/>
    </row>
    <row r="7098" spans="2:9" ht="15" x14ac:dyDescent="0.25">
      <c r="B7098"/>
      <c r="C7098"/>
      <c r="D7098"/>
      <c r="E7098"/>
      <c r="F7098"/>
      <c r="G7098" s="20"/>
      <c r="H7098"/>
      <c r="I7098"/>
    </row>
    <row r="7099" spans="2:9" ht="15" x14ac:dyDescent="0.25">
      <c r="B7099"/>
      <c r="C7099"/>
      <c r="D7099"/>
      <c r="E7099"/>
      <c r="F7099"/>
      <c r="G7099" s="20"/>
      <c r="H7099"/>
      <c r="I7099"/>
    </row>
    <row r="7100" spans="2:9" ht="15" x14ac:dyDescent="0.25">
      <c r="B7100"/>
      <c r="C7100"/>
      <c r="D7100"/>
      <c r="E7100"/>
      <c r="F7100"/>
      <c r="G7100" s="20"/>
      <c r="H7100"/>
      <c r="I7100"/>
    </row>
    <row r="7101" spans="2:9" ht="15" x14ac:dyDescent="0.25">
      <c r="B7101"/>
      <c r="C7101"/>
      <c r="D7101"/>
      <c r="E7101"/>
      <c r="F7101"/>
      <c r="G7101" s="20"/>
      <c r="H7101"/>
      <c r="I7101"/>
    </row>
    <row r="7102" spans="2:9" ht="15" x14ac:dyDescent="0.25">
      <c r="B7102"/>
      <c r="C7102"/>
      <c r="D7102"/>
      <c r="E7102"/>
      <c r="F7102"/>
      <c r="G7102" s="20"/>
      <c r="H7102"/>
      <c r="I7102"/>
    </row>
    <row r="7103" spans="2:9" ht="15" x14ac:dyDescent="0.25">
      <c r="B7103"/>
      <c r="C7103"/>
      <c r="D7103"/>
      <c r="E7103"/>
      <c r="F7103"/>
      <c r="G7103" s="20"/>
      <c r="H7103"/>
      <c r="I7103"/>
    </row>
    <row r="7104" spans="2:9" ht="15" x14ac:dyDescent="0.25">
      <c r="B7104"/>
      <c r="C7104"/>
      <c r="D7104"/>
      <c r="E7104"/>
      <c r="F7104"/>
      <c r="G7104" s="20"/>
      <c r="H7104"/>
      <c r="I7104"/>
    </row>
    <row r="7105" spans="2:9" ht="15" x14ac:dyDescent="0.25">
      <c r="B7105"/>
      <c r="C7105"/>
      <c r="D7105"/>
      <c r="E7105"/>
      <c r="F7105"/>
      <c r="G7105" s="20"/>
      <c r="H7105"/>
      <c r="I7105"/>
    </row>
    <row r="7106" spans="2:9" ht="15" x14ac:dyDescent="0.25">
      <c r="B7106"/>
      <c r="C7106"/>
      <c r="D7106"/>
      <c r="E7106"/>
      <c r="F7106"/>
      <c r="G7106" s="20"/>
      <c r="H7106"/>
      <c r="I7106"/>
    </row>
    <row r="7107" spans="2:9" ht="15" x14ac:dyDescent="0.25">
      <c r="B7107"/>
      <c r="C7107"/>
      <c r="D7107"/>
      <c r="E7107"/>
      <c r="F7107"/>
      <c r="G7107" s="20"/>
      <c r="H7107"/>
      <c r="I7107"/>
    </row>
    <row r="7108" spans="2:9" ht="15" x14ac:dyDescent="0.25">
      <c r="B7108"/>
      <c r="C7108"/>
      <c r="D7108"/>
      <c r="E7108"/>
      <c r="F7108"/>
      <c r="G7108" s="20"/>
      <c r="H7108"/>
      <c r="I7108"/>
    </row>
    <row r="7109" spans="2:9" ht="15" x14ac:dyDescent="0.25">
      <c r="B7109"/>
      <c r="C7109"/>
      <c r="D7109"/>
      <c r="E7109"/>
      <c r="F7109"/>
      <c r="G7109" s="20"/>
      <c r="H7109"/>
      <c r="I7109"/>
    </row>
    <row r="7110" spans="2:9" ht="15" x14ac:dyDescent="0.25">
      <c r="B7110"/>
      <c r="C7110"/>
      <c r="D7110"/>
      <c r="E7110"/>
      <c r="F7110"/>
      <c r="G7110" s="20"/>
      <c r="H7110"/>
      <c r="I7110"/>
    </row>
    <row r="7111" spans="2:9" ht="15" x14ac:dyDescent="0.25">
      <c r="B7111"/>
      <c r="C7111"/>
      <c r="D7111"/>
      <c r="E7111"/>
      <c r="F7111"/>
      <c r="G7111" s="20"/>
      <c r="H7111"/>
      <c r="I7111"/>
    </row>
    <row r="7112" spans="2:9" ht="15" x14ac:dyDescent="0.25">
      <c r="B7112"/>
      <c r="C7112"/>
      <c r="D7112"/>
      <c r="E7112"/>
      <c r="F7112"/>
      <c r="G7112" s="20"/>
      <c r="H7112"/>
      <c r="I7112"/>
    </row>
    <row r="7113" spans="2:9" ht="15" x14ac:dyDescent="0.25">
      <c r="B7113"/>
      <c r="C7113"/>
      <c r="D7113"/>
      <c r="E7113"/>
      <c r="F7113"/>
      <c r="G7113" s="20"/>
      <c r="H7113"/>
      <c r="I7113"/>
    </row>
    <row r="7114" spans="2:9" ht="15" x14ac:dyDescent="0.25">
      <c r="B7114"/>
      <c r="C7114"/>
      <c r="D7114"/>
      <c r="E7114"/>
      <c r="F7114"/>
      <c r="G7114" s="20"/>
      <c r="H7114"/>
      <c r="I7114"/>
    </row>
    <row r="7115" spans="2:9" ht="15" x14ac:dyDescent="0.25">
      <c r="B7115"/>
      <c r="C7115"/>
      <c r="D7115"/>
      <c r="E7115"/>
      <c r="F7115"/>
      <c r="G7115" s="20"/>
      <c r="H7115"/>
      <c r="I7115"/>
    </row>
    <row r="7116" spans="2:9" ht="15" x14ac:dyDescent="0.25">
      <c r="B7116"/>
      <c r="C7116"/>
      <c r="D7116"/>
      <c r="E7116"/>
      <c r="F7116"/>
      <c r="G7116" s="20"/>
      <c r="H7116"/>
      <c r="I7116"/>
    </row>
    <row r="7117" spans="2:9" ht="15" x14ac:dyDescent="0.25">
      <c r="B7117"/>
      <c r="C7117"/>
      <c r="D7117"/>
      <c r="E7117"/>
      <c r="F7117"/>
      <c r="G7117" s="20"/>
      <c r="H7117"/>
      <c r="I7117"/>
    </row>
    <row r="7118" spans="2:9" ht="15" x14ac:dyDescent="0.25">
      <c r="B7118"/>
      <c r="C7118"/>
      <c r="D7118"/>
      <c r="E7118"/>
      <c r="F7118"/>
      <c r="G7118" s="20"/>
      <c r="H7118"/>
      <c r="I7118"/>
    </row>
    <row r="7119" spans="2:9" ht="15" x14ac:dyDescent="0.25">
      <c r="B7119"/>
      <c r="C7119"/>
      <c r="D7119"/>
      <c r="E7119"/>
      <c r="F7119"/>
      <c r="G7119" s="20"/>
      <c r="H7119"/>
      <c r="I7119"/>
    </row>
    <row r="7120" spans="2:9" ht="15" x14ac:dyDescent="0.25">
      <c r="B7120"/>
      <c r="C7120"/>
      <c r="D7120"/>
      <c r="E7120"/>
      <c r="F7120"/>
      <c r="G7120" s="20"/>
      <c r="H7120"/>
      <c r="I7120"/>
    </row>
    <row r="7121" spans="2:9" ht="15" x14ac:dyDescent="0.25">
      <c r="B7121"/>
      <c r="C7121"/>
      <c r="D7121"/>
      <c r="E7121"/>
      <c r="F7121"/>
      <c r="G7121" s="20"/>
      <c r="H7121"/>
      <c r="I7121"/>
    </row>
    <row r="7122" spans="2:9" ht="15" x14ac:dyDescent="0.25">
      <c r="B7122"/>
      <c r="C7122"/>
      <c r="D7122"/>
      <c r="E7122"/>
      <c r="F7122"/>
      <c r="G7122" s="20"/>
      <c r="H7122"/>
      <c r="I7122"/>
    </row>
    <row r="7123" spans="2:9" ht="15" x14ac:dyDescent="0.25">
      <c r="B7123"/>
      <c r="C7123"/>
      <c r="D7123"/>
      <c r="E7123"/>
      <c r="F7123"/>
      <c r="G7123" s="20"/>
      <c r="H7123"/>
      <c r="I7123"/>
    </row>
    <row r="7124" spans="2:9" ht="15" x14ac:dyDescent="0.25">
      <c r="B7124"/>
      <c r="C7124"/>
      <c r="D7124"/>
      <c r="E7124"/>
      <c r="F7124"/>
      <c r="G7124" s="20"/>
      <c r="H7124"/>
      <c r="I7124"/>
    </row>
    <row r="7125" spans="2:9" ht="15" x14ac:dyDescent="0.25">
      <c r="B7125"/>
      <c r="C7125"/>
      <c r="D7125"/>
      <c r="E7125"/>
      <c r="F7125"/>
      <c r="G7125" s="20"/>
      <c r="H7125"/>
      <c r="I7125"/>
    </row>
    <row r="7126" spans="2:9" ht="15" x14ac:dyDescent="0.25">
      <c r="B7126"/>
      <c r="C7126"/>
      <c r="D7126"/>
      <c r="E7126"/>
      <c r="F7126"/>
      <c r="G7126" s="20"/>
      <c r="H7126"/>
      <c r="I7126"/>
    </row>
    <row r="7127" spans="2:9" ht="15" x14ac:dyDescent="0.25">
      <c r="B7127"/>
      <c r="C7127"/>
      <c r="D7127"/>
      <c r="E7127"/>
      <c r="F7127"/>
      <c r="G7127" s="20"/>
      <c r="H7127"/>
      <c r="I7127"/>
    </row>
    <row r="7128" spans="2:9" ht="15" x14ac:dyDescent="0.25">
      <c r="B7128"/>
      <c r="C7128"/>
      <c r="D7128"/>
      <c r="E7128"/>
      <c r="F7128"/>
      <c r="G7128" s="20"/>
      <c r="H7128"/>
      <c r="I7128"/>
    </row>
    <row r="7129" spans="2:9" ht="15" x14ac:dyDescent="0.25">
      <c r="B7129"/>
      <c r="C7129"/>
      <c r="D7129"/>
      <c r="E7129"/>
      <c r="F7129"/>
      <c r="G7129" s="20"/>
      <c r="H7129"/>
      <c r="I7129"/>
    </row>
    <row r="7130" spans="2:9" ht="15" x14ac:dyDescent="0.25">
      <c r="B7130"/>
      <c r="C7130"/>
      <c r="D7130"/>
      <c r="E7130"/>
      <c r="F7130"/>
      <c r="G7130" s="20"/>
      <c r="H7130"/>
      <c r="I7130"/>
    </row>
    <row r="7131" spans="2:9" ht="15" x14ac:dyDescent="0.25">
      <c r="B7131"/>
      <c r="C7131"/>
      <c r="D7131"/>
      <c r="E7131"/>
      <c r="F7131"/>
      <c r="G7131" s="20"/>
      <c r="H7131"/>
      <c r="I7131"/>
    </row>
    <row r="7132" spans="2:9" ht="15" x14ac:dyDescent="0.25">
      <c r="B7132"/>
      <c r="C7132"/>
      <c r="D7132"/>
      <c r="E7132"/>
      <c r="F7132"/>
      <c r="G7132" s="20"/>
      <c r="H7132"/>
      <c r="I7132"/>
    </row>
    <row r="7133" spans="2:9" ht="15" x14ac:dyDescent="0.25">
      <c r="B7133"/>
      <c r="C7133"/>
      <c r="D7133"/>
      <c r="E7133"/>
      <c r="F7133"/>
      <c r="G7133" s="20"/>
      <c r="H7133"/>
      <c r="I7133"/>
    </row>
    <row r="7134" spans="2:9" ht="15" x14ac:dyDescent="0.25">
      <c r="B7134"/>
      <c r="C7134"/>
      <c r="D7134"/>
      <c r="E7134"/>
      <c r="F7134"/>
      <c r="G7134" s="20"/>
      <c r="H7134"/>
      <c r="I7134"/>
    </row>
    <row r="7135" spans="2:9" ht="15" x14ac:dyDescent="0.25">
      <c r="B7135"/>
      <c r="C7135"/>
      <c r="D7135"/>
      <c r="E7135"/>
      <c r="F7135"/>
      <c r="G7135" s="20"/>
      <c r="H7135"/>
      <c r="I7135"/>
    </row>
    <row r="7136" spans="2:9" ht="15" x14ac:dyDescent="0.25">
      <c r="B7136"/>
      <c r="C7136"/>
      <c r="D7136"/>
      <c r="E7136"/>
      <c r="F7136"/>
      <c r="G7136" s="20"/>
      <c r="H7136"/>
      <c r="I7136"/>
    </row>
    <row r="7137" spans="2:9" ht="15" x14ac:dyDescent="0.25">
      <c r="B7137"/>
      <c r="C7137"/>
      <c r="D7137"/>
      <c r="E7137"/>
      <c r="F7137"/>
      <c r="G7137" s="20"/>
      <c r="H7137"/>
      <c r="I7137"/>
    </row>
    <row r="7138" spans="2:9" ht="15" x14ac:dyDescent="0.25">
      <c r="B7138"/>
      <c r="C7138"/>
      <c r="D7138"/>
      <c r="E7138"/>
      <c r="F7138"/>
      <c r="G7138" s="20"/>
      <c r="H7138"/>
      <c r="I7138"/>
    </row>
    <row r="7139" spans="2:9" ht="15" x14ac:dyDescent="0.25">
      <c r="B7139"/>
      <c r="C7139"/>
      <c r="D7139"/>
      <c r="E7139"/>
      <c r="F7139"/>
      <c r="G7139" s="20"/>
      <c r="H7139"/>
      <c r="I7139"/>
    </row>
    <row r="7140" spans="2:9" ht="15" x14ac:dyDescent="0.25">
      <c r="B7140"/>
      <c r="C7140"/>
      <c r="D7140"/>
      <c r="E7140"/>
      <c r="F7140"/>
      <c r="G7140" s="20"/>
      <c r="H7140"/>
      <c r="I7140"/>
    </row>
    <row r="7141" spans="2:9" ht="15" x14ac:dyDescent="0.25">
      <c r="B7141"/>
      <c r="C7141"/>
      <c r="D7141"/>
      <c r="E7141"/>
      <c r="F7141"/>
      <c r="G7141" s="20"/>
      <c r="H7141"/>
      <c r="I7141"/>
    </row>
    <row r="7142" spans="2:9" ht="15" x14ac:dyDescent="0.25">
      <c r="B7142"/>
      <c r="C7142"/>
      <c r="D7142"/>
      <c r="E7142"/>
      <c r="F7142"/>
      <c r="G7142" s="20"/>
      <c r="H7142"/>
      <c r="I7142"/>
    </row>
    <row r="7143" spans="2:9" ht="15" x14ac:dyDescent="0.25">
      <c r="B7143"/>
      <c r="C7143"/>
      <c r="D7143"/>
      <c r="E7143"/>
      <c r="F7143"/>
      <c r="G7143" s="20"/>
      <c r="H7143"/>
      <c r="I7143"/>
    </row>
    <row r="7144" spans="2:9" ht="15" x14ac:dyDescent="0.25">
      <c r="B7144"/>
      <c r="C7144"/>
      <c r="D7144"/>
      <c r="E7144"/>
      <c r="F7144"/>
      <c r="G7144" s="20"/>
      <c r="H7144"/>
      <c r="I7144"/>
    </row>
    <row r="7145" spans="2:9" ht="15" x14ac:dyDescent="0.25">
      <c r="B7145"/>
      <c r="C7145"/>
      <c r="D7145"/>
      <c r="E7145"/>
      <c r="F7145"/>
      <c r="G7145" s="20"/>
      <c r="H7145"/>
      <c r="I7145"/>
    </row>
    <row r="7146" spans="2:9" ht="15" x14ac:dyDescent="0.25">
      <c r="B7146"/>
      <c r="C7146"/>
      <c r="D7146"/>
      <c r="E7146"/>
      <c r="F7146"/>
      <c r="G7146" s="20"/>
      <c r="H7146"/>
      <c r="I7146"/>
    </row>
    <row r="7147" spans="2:9" ht="15" x14ac:dyDescent="0.25">
      <c r="B7147"/>
      <c r="C7147"/>
      <c r="D7147"/>
      <c r="E7147"/>
      <c r="F7147"/>
      <c r="G7147" s="20"/>
      <c r="H7147"/>
      <c r="I7147"/>
    </row>
    <row r="7148" spans="2:9" ht="15" x14ac:dyDescent="0.25">
      <c r="B7148"/>
      <c r="C7148"/>
      <c r="D7148"/>
      <c r="E7148"/>
      <c r="F7148"/>
      <c r="G7148" s="20"/>
      <c r="H7148"/>
      <c r="I7148"/>
    </row>
    <row r="7149" spans="2:9" ht="15" x14ac:dyDescent="0.25">
      <c r="B7149"/>
      <c r="C7149"/>
      <c r="D7149"/>
      <c r="E7149"/>
      <c r="F7149"/>
      <c r="G7149" s="20"/>
      <c r="H7149"/>
      <c r="I7149"/>
    </row>
    <row r="7150" spans="2:9" ht="15" x14ac:dyDescent="0.25">
      <c r="B7150"/>
      <c r="C7150"/>
      <c r="D7150"/>
      <c r="E7150"/>
      <c r="F7150"/>
      <c r="G7150" s="20"/>
      <c r="H7150"/>
      <c r="I7150"/>
    </row>
    <row r="7151" spans="2:9" ht="15" x14ac:dyDescent="0.25">
      <c r="B7151"/>
      <c r="C7151"/>
      <c r="D7151"/>
      <c r="E7151"/>
      <c r="F7151"/>
      <c r="G7151" s="20"/>
      <c r="H7151"/>
      <c r="I7151"/>
    </row>
    <row r="7152" spans="2:9" ht="15" x14ac:dyDescent="0.25">
      <c r="B7152"/>
      <c r="C7152"/>
      <c r="D7152"/>
      <c r="E7152"/>
      <c r="F7152"/>
      <c r="G7152" s="20"/>
      <c r="H7152"/>
      <c r="I7152"/>
    </row>
    <row r="7153" spans="2:9" ht="15" x14ac:dyDescent="0.25">
      <c r="B7153"/>
      <c r="C7153"/>
      <c r="D7153"/>
      <c r="E7153"/>
      <c r="F7153"/>
      <c r="G7153" s="20"/>
      <c r="H7153"/>
      <c r="I7153"/>
    </row>
    <row r="7154" spans="2:9" ht="15" x14ac:dyDescent="0.25">
      <c r="B7154"/>
      <c r="C7154"/>
      <c r="D7154"/>
      <c r="E7154"/>
      <c r="F7154"/>
      <c r="G7154" s="20"/>
      <c r="H7154"/>
      <c r="I7154"/>
    </row>
    <row r="7155" spans="2:9" ht="15" x14ac:dyDescent="0.25">
      <c r="B7155"/>
      <c r="C7155"/>
      <c r="D7155"/>
      <c r="E7155"/>
      <c r="F7155"/>
      <c r="G7155" s="20"/>
      <c r="H7155"/>
      <c r="I7155"/>
    </row>
    <row r="7156" spans="2:9" ht="15" x14ac:dyDescent="0.25">
      <c r="B7156"/>
      <c r="C7156"/>
      <c r="D7156"/>
      <c r="E7156"/>
      <c r="F7156"/>
      <c r="G7156" s="20"/>
      <c r="H7156"/>
      <c r="I7156"/>
    </row>
    <row r="7157" spans="2:9" ht="15" x14ac:dyDescent="0.25">
      <c r="B7157"/>
      <c r="C7157"/>
      <c r="D7157"/>
      <c r="E7157"/>
      <c r="F7157"/>
      <c r="G7157" s="20"/>
      <c r="H7157"/>
      <c r="I7157"/>
    </row>
    <row r="7158" spans="2:9" ht="15" x14ac:dyDescent="0.25">
      <c r="B7158"/>
      <c r="C7158"/>
      <c r="D7158"/>
      <c r="E7158"/>
      <c r="F7158"/>
      <c r="G7158" s="20"/>
      <c r="H7158"/>
      <c r="I7158"/>
    </row>
    <row r="7159" spans="2:9" ht="15" x14ac:dyDescent="0.25">
      <c r="B7159"/>
      <c r="C7159"/>
      <c r="D7159"/>
      <c r="E7159"/>
      <c r="F7159"/>
      <c r="G7159" s="20"/>
      <c r="H7159"/>
      <c r="I7159"/>
    </row>
    <row r="7160" spans="2:9" ht="15" x14ac:dyDescent="0.25">
      <c r="B7160"/>
      <c r="C7160"/>
      <c r="D7160"/>
      <c r="E7160"/>
      <c r="F7160"/>
      <c r="G7160" s="20"/>
      <c r="H7160"/>
      <c r="I7160"/>
    </row>
    <row r="7161" spans="2:9" ht="15" x14ac:dyDescent="0.25">
      <c r="B7161"/>
      <c r="C7161"/>
      <c r="D7161"/>
      <c r="E7161"/>
      <c r="F7161"/>
      <c r="G7161" s="20"/>
      <c r="H7161"/>
      <c r="I7161"/>
    </row>
    <row r="7162" spans="2:9" ht="15" x14ac:dyDescent="0.25">
      <c r="B7162"/>
      <c r="C7162"/>
      <c r="D7162"/>
      <c r="E7162"/>
      <c r="F7162"/>
      <c r="G7162" s="20"/>
      <c r="H7162"/>
      <c r="I7162"/>
    </row>
    <row r="7163" spans="2:9" ht="15" x14ac:dyDescent="0.25">
      <c r="B7163"/>
      <c r="C7163"/>
      <c r="D7163"/>
      <c r="E7163"/>
      <c r="F7163"/>
      <c r="G7163" s="20"/>
      <c r="H7163"/>
      <c r="I7163"/>
    </row>
    <row r="7164" spans="2:9" ht="15" x14ac:dyDescent="0.25">
      <c r="B7164"/>
      <c r="C7164"/>
      <c r="D7164"/>
      <c r="E7164"/>
      <c r="F7164"/>
      <c r="G7164" s="20"/>
      <c r="H7164"/>
      <c r="I7164"/>
    </row>
    <row r="7165" spans="2:9" ht="15" x14ac:dyDescent="0.25">
      <c r="B7165"/>
      <c r="C7165"/>
      <c r="D7165"/>
      <c r="E7165"/>
      <c r="F7165"/>
      <c r="G7165" s="20"/>
      <c r="H7165"/>
      <c r="I7165"/>
    </row>
    <row r="7166" spans="2:9" ht="15" x14ac:dyDescent="0.25">
      <c r="B7166"/>
      <c r="C7166"/>
      <c r="D7166"/>
      <c r="E7166"/>
      <c r="F7166"/>
      <c r="G7166" s="20"/>
      <c r="H7166"/>
      <c r="I7166"/>
    </row>
    <row r="7167" spans="2:9" ht="15" x14ac:dyDescent="0.25">
      <c r="B7167"/>
      <c r="C7167"/>
      <c r="D7167"/>
      <c r="E7167"/>
      <c r="F7167"/>
      <c r="G7167" s="20"/>
      <c r="H7167"/>
      <c r="I7167"/>
    </row>
    <row r="7168" spans="2:9" ht="15" x14ac:dyDescent="0.25">
      <c r="B7168"/>
      <c r="C7168"/>
      <c r="D7168"/>
      <c r="E7168"/>
      <c r="F7168"/>
      <c r="G7168" s="20"/>
      <c r="H7168"/>
      <c r="I7168"/>
    </row>
    <row r="7169" spans="2:9" ht="15" x14ac:dyDescent="0.25">
      <c r="B7169"/>
      <c r="C7169"/>
      <c r="D7169"/>
      <c r="E7169"/>
      <c r="F7169"/>
      <c r="G7169" s="20"/>
      <c r="H7169"/>
      <c r="I7169"/>
    </row>
    <row r="7170" spans="2:9" ht="15" x14ac:dyDescent="0.25">
      <c r="B7170"/>
      <c r="C7170"/>
      <c r="D7170"/>
      <c r="E7170"/>
      <c r="F7170"/>
      <c r="G7170" s="20"/>
      <c r="H7170"/>
      <c r="I7170"/>
    </row>
    <row r="7171" spans="2:9" ht="15" x14ac:dyDescent="0.25">
      <c r="B7171"/>
      <c r="C7171"/>
      <c r="D7171"/>
      <c r="E7171"/>
      <c r="F7171"/>
      <c r="G7171" s="20"/>
      <c r="H7171"/>
      <c r="I7171"/>
    </row>
    <row r="7172" spans="2:9" ht="15" x14ac:dyDescent="0.25">
      <c r="B7172"/>
      <c r="C7172"/>
      <c r="D7172"/>
      <c r="E7172"/>
      <c r="F7172"/>
      <c r="G7172" s="20"/>
      <c r="H7172"/>
      <c r="I7172"/>
    </row>
    <row r="7173" spans="2:9" ht="15" x14ac:dyDescent="0.25">
      <c r="B7173"/>
      <c r="C7173"/>
      <c r="D7173"/>
      <c r="E7173"/>
      <c r="F7173"/>
      <c r="G7173" s="20"/>
      <c r="H7173"/>
      <c r="I7173"/>
    </row>
    <row r="7174" spans="2:9" ht="15" x14ac:dyDescent="0.25">
      <c r="B7174"/>
      <c r="C7174"/>
      <c r="D7174"/>
      <c r="E7174"/>
      <c r="F7174"/>
      <c r="G7174" s="20"/>
      <c r="H7174"/>
      <c r="I7174"/>
    </row>
    <row r="7175" spans="2:9" ht="15" x14ac:dyDescent="0.25">
      <c r="B7175"/>
      <c r="C7175"/>
      <c r="D7175"/>
      <c r="E7175"/>
      <c r="F7175"/>
      <c r="G7175" s="20"/>
      <c r="H7175"/>
      <c r="I7175"/>
    </row>
    <row r="7176" spans="2:9" ht="15" x14ac:dyDescent="0.25">
      <c r="B7176"/>
      <c r="C7176"/>
      <c r="D7176"/>
      <c r="E7176"/>
      <c r="F7176"/>
      <c r="G7176" s="20"/>
      <c r="H7176"/>
      <c r="I7176"/>
    </row>
    <row r="7177" spans="2:9" ht="15" x14ac:dyDescent="0.25">
      <c r="B7177"/>
      <c r="C7177"/>
      <c r="D7177"/>
      <c r="E7177"/>
      <c r="F7177"/>
      <c r="G7177" s="20"/>
      <c r="H7177"/>
      <c r="I7177"/>
    </row>
    <row r="7178" spans="2:9" ht="15" x14ac:dyDescent="0.25">
      <c r="B7178"/>
      <c r="C7178"/>
      <c r="D7178"/>
      <c r="E7178"/>
      <c r="F7178"/>
      <c r="G7178" s="20"/>
      <c r="H7178"/>
      <c r="I7178"/>
    </row>
    <row r="7179" spans="2:9" ht="15" x14ac:dyDescent="0.25">
      <c r="B7179"/>
      <c r="C7179"/>
      <c r="D7179"/>
      <c r="E7179"/>
      <c r="F7179"/>
      <c r="G7179" s="20"/>
      <c r="H7179"/>
      <c r="I7179"/>
    </row>
    <row r="7180" spans="2:9" ht="15" x14ac:dyDescent="0.25">
      <c r="B7180"/>
      <c r="C7180"/>
      <c r="D7180"/>
      <c r="E7180"/>
      <c r="F7180"/>
      <c r="G7180" s="20"/>
      <c r="H7180"/>
      <c r="I7180"/>
    </row>
    <row r="7181" spans="2:9" ht="15" x14ac:dyDescent="0.25">
      <c r="B7181"/>
      <c r="C7181"/>
      <c r="D7181"/>
      <c r="E7181"/>
      <c r="F7181"/>
      <c r="G7181" s="20"/>
      <c r="H7181"/>
      <c r="I7181"/>
    </row>
    <row r="7182" spans="2:9" ht="15" x14ac:dyDescent="0.25">
      <c r="B7182"/>
      <c r="C7182"/>
      <c r="D7182"/>
      <c r="E7182"/>
      <c r="F7182"/>
      <c r="G7182" s="20"/>
      <c r="H7182"/>
      <c r="I7182"/>
    </row>
    <row r="7183" spans="2:9" ht="15" x14ac:dyDescent="0.25">
      <c r="B7183"/>
      <c r="C7183"/>
      <c r="D7183"/>
      <c r="E7183"/>
      <c r="F7183"/>
      <c r="G7183" s="20"/>
      <c r="H7183"/>
      <c r="I7183"/>
    </row>
    <row r="7184" spans="2:9" ht="15" x14ac:dyDescent="0.25">
      <c r="B7184"/>
      <c r="C7184"/>
      <c r="D7184"/>
      <c r="E7184"/>
      <c r="F7184"/>
      <c r="G7184" s="20"/>
      <c r="H7184"/>
      <c r="I7184"/>
    </row>
    <row r="7185" spans="2:9" ht="15" x14ac:dyDescent="0.25">
      <c r="B7185"/>
      <c r="C7185"/>
      <c r="D7185"/>
      <c r="E7185"/>
      <c r="F7185"/>
      <c r="G7185" s="20"/>
      <c r="H7185"/>
      <c r="I7185"/>
    </row>
    <row r="7186" spans="2:9" ht="15" x14ac:dyDescent="0.25">
      <c r="B7186"/>
      <c r="C7186"/>
      <c r="D7186"/>
      <c r="E7186"/>
      <c r="F7186"/>
      <c r="G7186" s="20"/>
      <c r="H7186"/>
      <c r="I7186"/>
    </row>
    <row r="7187" spans="2:9" ht="15" x14ac:dyDescent="0.25">
      <c r="B7187"/>
      <c r="C7187"/>
      <c r="D7187"/>
      <c r="E7187"/>
      <c r="F7187"/>
      <c r="G7187" s="20"/>
      <c r="H7187"/>
      <c r="I7187"/>
    </row>
    <row r="7188" spans="2:9" ht="15" x14ac:dyDescent="0.25">
      <c r="B7188"/>
      <c r="C7188"/>
      <c r="D7188"/>
      <c r="E7188"/>
      <c r="F7188"/>
      <c r="G7188" s="20"/>
      <c r="H7188"/>
      <c r="I7188"/>
    </row>
    <row r="7189" spans="2:9" ht="15" x14ac:dyDescent="0.25">
      <c r="B7189"/>
      <c r="C7189"/>
      <c r="D7189"/>
      <c r="E7189"/>
      <c r="F7189"/>
      <c r="G7189" s="20"/>
      <c r="H7189"/>
      <c r="I7189"/>
    </row>
    <row r="7190" spans="2:9" ht="15" x14ac:dyDescent="0.25">
      <c r="B7190"/>
      <c r="C7190"/>
      <c r="D7190"/>
      <c r="E7190"/>
      <c r="F7190"/>
      <c r="G7190" s="20"/>
      <c r="H7190"/>
      <c r="I7190"/>
    </row>
    <row r="7191" spans="2:9" ht="15" x14ac:dyDescent="0.25">
      <c r="B7191"/>
      <c r="C7191"/>
      <c r="D7191"/>
      <c r="E7191"/>
      <c r="F7191"/>
      <c r="G7191" s="20"/>
      <c r="H7191"/>
      <c r="I7191"/>
    </row>
    <row r="7192" spans="2:9" ht="15" x14ac:dyDescent="0.25">
      <c r="B7192"/>
      <c r="C7192"/>
      <c r="D7192"/>
      <c r="E7192"/>
      <c r="F7192"/>
      <c r="G7192" s="20"/>
      <c r="H7192"/>
      <c r="I7192"/>
    </row>
    <row r="7193" spans="2:9" ht="15" x14ac:dyDescent="0.25">
      <c r="B7193"/>
      <c r="C7193"/>
      <c r="D7193"/>
      <c r="E7193"/>
      <c r="F7193"/>
      <c r="G7193" s="20"/>
      <c r="H7193"/>
      <c r="I7193"/>
    </row>
    <row r="7194" spans="2:9" ht="15" x14ac:dyDescent="0.25">
      <c r="B7194"/>
      <c r="C7194"/>
      <c r="D7194"/>
      <c r="E7194"/>
      <c r="F7194"/>
      <c r="G7194" s="20"/>
      <c r="H7194"/>
      <c r="I7194"/>
    </row>
    <row r="7195" spans="2:9" ht="15" x14ac:dyDescent="0.25">
      <c r="B7195"/>
      <c r="C7195"/>
      <c r="D7195"/>
      <c r="E7195"/>
      <c r="F7195"/>
      <c r="G7195" s="20"/>
      <c r="H7195"/>
      <c r="I7195"/>
    </row>
    <row r="7196" spans="2:9" ht="15" x14ac:dyDescent="0.25">
      <c r="B7196"/>
      <c r="C7196"/>
      <c r="D7196"/>
      <c r="E7196"/>
      <c r="F7196"/>
      <c r="G7196" s="20"/>
      <c r="H7196"/>
      <c r="I7196"/>
    </row>
    <row r="7197" spans="2:9" ht="15" x14ac:dyDescent="0.25">
      <c r="B7197"/>
      <c r="C7197"/>
      <c r="D7197"/>
      <c r="E7197"/>
      <c r="F7197"/>
      <c r="G7197" s="20"/>
      <c r="H7197"/>
      <c r="I7197"/>
    </row>
    <row r="7198" spans="2:9" ht="15" x14ac:dyDescent="0.25">
      <c r="B7198"/>
      <c r="C7198"/>
      <c r="D7198"/>
      <c r="E7198"/>
      <c r="F7198"/>
      <c r="G7198" s="20"/>
      <c r="H7198"/>
      <c r="I7198"/>
    </row>
    <row r="7199" spans="2:9" ht="15" x14ac:dyDescent="0.25">
      <c r="B7199"/>
      <c r="C7199"/>
      <c r="D7199"/>
      <c r="E7199"/>
      <c r="F7199"/>
      <c r="G7199" s="20"/>
      <c r="H7199"/>
      <c r="I7199"/>
    </row>
    <row r="7200" spans="2:9" ht="15" x14ac:dyDescent="0.25">
      <c r="B7200"/>
      <c r="C7200"/>
      <c r="D7200"/>
      <c r="E7200"/>
      <c r="F7200"/>
      <c r="G7200" s="20"/>
      <c r="H7200"/>
      <c r="I7200"/>
    </row>
    <row r="7201" spans="2:9" ht="15" x14ac:dyDescent="0.25">
      <c r="B7201"/>
      <c r="C7201"/>
      <c r="D7201"/>
      <c r="E7201"/>
      <c r="F7201"/>
      <c r="G7201" s="20"/>
      <c r="H7201"/>
      <c r="I7201"/>
    </row>
    <row r="7202" spans="2:9" ht="15" x14ac:dyDescent="0.25">
      <c r="B7202"/>
      <c r="C7202"/>
      <c r="D7202"/>
      <c r="E7202"/>
      <c r="F7202"/>
      <c r="G7202" s="20"/>
      <c r="H7202"/>
      <c r="I7202"/>
    </row>
    <row r="7203" spans="2:9" ht="15" x14ac:dyDescent="0.25">
      <c r="B7203"/>
      <c r="C7203"/>
      <c r="D7203"/>
      <c r="E7203"/>
      <c r="F7203"/>
      <c r="G7203" s="20"/>
      <c r="H7203"/>
      <c r="I7203"/>
    </row>
    <row r="7204" spans="2:9" ht="15" x14ac:dyDescent="0.25">
      <c r="B7204"/>
      <c r="C7204"/>
      <c r="D7204"/>
      <c r="E7204"/>
      <c r="F7204"/>
      <c r="G7204" s="20"/>
      <c r="H7204"/>
      <c r="I7204"/>
    </row>
    <row r="7205" spans="2:9" ht="15" x14ac:dyDescent="0.25">
      <c r="B7205"/>
      <c r="C7205"/>
      <c r="D7205"/>
      <c r="E7205"/>
      <c r="F7205"/>
      <c r="G7205" s="20"/>
      <c r="H7205"/>
      <c r="I7205"/>
    </row>
    <row r="7206" spans="2:9" ht="15" x14ac:dyDescent="0.25">
      <c r="B7206"/>
      <c r="C7206"/>
      <c r="D7206"/>
      <c r="E7206"/>
      <c r="F7206"/>
      <c r="G7206" s="20"/>
      <c r="H7206"/>
      <c r="I7206"/>
    </row>
    <row r="7207" spans="2:9" ht="15" x14ac:dyDescent="0.25">
      <c r="B7207"/>
      <c r="C7207"/>
      <c r="D7207"/>
      <c r="E7207"/>
      <c r="F7207"/>
      <c r="G7207" s="20"/>
      <c r="H7207"/>
      <c r="I7207"/>
    </row>
    <row r="7208" spans="2:9" ht="15" x14ac:dyDescent="0.25">
      <c r="B7208"/>
      <c r="C7208"/>
      <c r="D7208"/>
      <c r="E7208"/>
      <c r="F7208"/>
      <c r="G7208" s="20"/>
      <c r="H7208"/>
      <c r="I7208"/>
    </row>
    <row r="7209" spans="2:9" ht="15" x14ac:dyDescent="0.25">
      <c r="B7209"/>
      <c r="C7209"/>
      <c r="D7209"/>
      <c r="E7209"/>
      <c r="F7209"/>
      <c r="G7209" s="20"/>
      <c r="H7209"/>
      <c r="I7209"/>
    </row>
    <row r="7210" spans="2:9" ht="15" x14ac:dyDescent="0.25">
      <c r="B7210"/>
      <c r="C7210"/>
      <c r="D7210"/>
      <c r="E7210"/>
      <c r="F7210"/>
      <c r="G7210" s="20"/>
      <c r="H7210"/>
      <c r="I7210"/>
    </row>
    <row r="7211" spans="2:9" ht="15" x14ac:dyDescent="0.25">
      <c r="B7211"/>
      <c r="C7211"/>
      <c r="D7211"/>
      <c r="E7211"/>
      <c r="F7211"/>
      <c r="G7211" s="20"/>
      <c r="H7211"/>
      <c r="I7211"/>
    </row>
    <row r="7212" spans="2:9" ht="15" x14ac:dyDescent="0.25">
      <c r="B7212"/>
      <c r="C7212"/>
      <c r="D7212"/>
      <c r="E7212"/>
      <c r="F7212"/>
      <c r="G7212" s="20"/>
      <c r="H7212"/>
      <c r="I7212"/>
    </row>
    <row r="7213" spans="2:9" ht="15" x14ac:dyDescent="0.25">
      <c r="B7213"/>
      <c r="C7213"/>
      <c r="D7213"/>
      <c r="E7213"/>
      <c r="F7213"/>
      <c r="G7213" s="20"/>
      <c r="H7213"/>
      <c r="I7213"/>
    </row>
    <row r="7214" spans="2:9" ht="15" x14ac:dyDescent="0.25">
      <c r="B7214"/>
      <c r="C7214"/>
      <c r="D7214"/>
      <c r="E7214"/>
      <c r="F7214"/>
      <c r="G7214" s="20"/>
      <c r="H7214"/>
      <c r="I7214"/>
    </row>
    <row r="7215" spans="2:9" ht="15" x14ac:dyDescent="0.25">
      <c r="B7215"/>
      <c r="C7215"/>
      <c r="D7215"/>
      <c r="E7215"/>
      <c r="F7215"/>
      <c r="G7215" s="20"/>
      <c r="H7215"/>
      <c r="I7215"/>
    </row>
    <row r="7216" spans="2:9" ht="15" x14ac:dyDescent="0.25">
      <c r="B7216"/>
      <c r="C7216"/>
      <c r="D7216"/>
      <c r="E7216"/>
      <c r="F7216"/>
      <c r="G7216" s="20"/>
      <c r="H7216"/>
      <c r="I7216"/>
    </row>
    <row r="7217" spans="2:9" ht="15" x14ac:dyDescent="0.25">
      <c r="B7217"/>
      <c r="C7217"/>
      <c r="D7217"/>
      <c r="E7217"/>
      <c r="F7217"/>
      <c r="G7217" s="20"/>
      <c r="H7217"/>
      <c r="I7217"/>
    </row>
    <row r="7218" spans="2:9" ht="15" x14ac:dyDescent="0.25">
      <c r="B7218"/>
      <c r="C7218"/>
      <c r="D7218"/>
      <c r="E7218"/>
      <c r="F7218"/>
      <c r="G7218" s="20"/>
      <c r="H7218"/>
      <c r="I7218"/>
    </row>
    <row r="7219" spans="2:9" ht="15" x14ac:dyDescent="0.25">
      <c r="B7219"/>
      <c r="C7219"/>
      <c r="D7219"/>
      <c r="E7219"/>
      <c r="F7219"/>
      <c r="G7219" s="20"/>
      <c r="H7219"/>
      <c r="I7219"/>
    </row>
    <row r="7220" spans="2:9" ht="15" x14ac:dyDescent="0.25">
      <c r="B7220"/>
      <c r="C7220"/>
      <c r="D7220"/>
      <c r="E7220"/>
      <c r="F7220"/>
      <c r="G7220" s="20"/>
      <c r="H7220"/>
      <c r="I7220"/>
    </row>
    <row r="7221" spans="2:9" ht="15" x14ac:dyDescent="0.25">
      <c r="B7221"/>
      <c r="C7221"/>
      <c r="D7221"/>
      <c r="E7221"/>
      <c r="F7221"/>
      <c r="G7221" s="20"/>
      <c r="H7221"/>
      <c r="I7221"/>
    </row>
    <row r="7222" spans="2:9" ht="15" x14ac:dyDescent="0.25">
      <c r="B7222"/>
      <c r="C7222"/>
      <c r="D7222"/>
      <c r="E7222"/>
      <c r="F7222"/>
      <c r="G7222" s="20"/>
      <c r="H7222"/>
      <c r="I7222"/>
    </row>
    <row r="7223" spans="2:9" ht="15" x14ac:dyDescent="0.25">
      <c r="B7223"/>
      <c r="C7223"/>
      <c r="D7223"/>
      <c r="E7223"/>
      <c r="F7223"/>
      <c r="G7223" s="20"/>
      <c r="H7223"/>
      <c r="I7223"/>
    </row>
    <row r="7224" spans="2:9" ht="15" x14ac:dyDescent="0.25">
      <c r="B7224"/>
      <c r="C7224"/>
      <c r="D7224"/>
      <c r="E7224"/>
      <c r="F7224"/>
      <c r="G7224" s="20"/>
      <c r="H7224"/>
      <c r="I7224"/>
    </row>
    <row r="7225" spans="2:9" ht="15" x14ac:dyDescent="0.25">
      <c r="B7225"/>
      <c r="C7225"/>
      <c r="D7225"/>
      <c r="E7225"/>
      <c r="F7225"/>
      <c r="G7225" s="20"/>
      <c r="H7225"/>
      <c r="I7225"/>
    </row>
    <row r="7226" spans="2:9" ht="15" x14ac:dyDescent="0.25">
      <c r="B7226"/>
      <c r="C7226"/>
      <c r="D7226"/>
      <c r="E7226"/>
      <c r="F7226"/>
      <c r="G7226" s="20"/>
      <c r="H7226"/>
      <c r="I7226"/>
    </row>
    <row r="7227" spans="2:9" ht="15" x14ac:dyDescent="0.25">
      <c r="B7227"/>
      <c r="C7227"/>
      <c r="D7227"/>
      <c r="E7227"/>
      <c r="F7227"/>
      <c r="G7227" s="20"/>
      <c r="H7227"/>
      <c r="I7227"/>
    </row>
    <row r="7228" spans="2:9" ht="15" x14ac:dyDescent="0.25">
      <c r="B7228"/>
      <c r="C7228"/>
      <c r="D7228"/>
      <c r="E7228"/>
      <c r="F7228"/>
      <c r="G7228" s="20"/>
      <c r="H7228"/>
      <c r="I7228"/>
    </row>
    <row r="7229" spans="2:9" ht="15" x14ac:dyDescent="0.25">
      <c r="B7229"/>
      <c r="C7229"/>
      <c r="D7229"/>
      <c r="E7229"/>
      <c r="F7229"/>
      <c r="G7229" s="20"/>
      <c r="H7229"/>
      <c r="I7229"/>
    </row>
    <row r="7230" spans="2:9" ht="15" x14ac:dyDescent="0.25">
      <c r="B7230"/>
      <c r="C7230"/>
      <c r="D7230"/>
      <c r="E7230"/>
      <c r="F7230"/>
      <c r="G7230" s="20"/>
      <c r="H7230"/>
      <c r="I7230"/>
    </row>
    <row r="7231" spans="2:9" ht="15" x14ac:dyDescent="0.25">
      <c r="B7231"/>
      <c r="C7231"/>
      <c r="D7231"/>
      <c r="E7231"/>
      <c r="F7231"/>
      <c r="G7231" s="20"/>
      <c r="H7231"/>
      <c r="I7231"/>
    </row>
    <row r="7232" spans="2:9" ht="15" x14ac:dyDescent="0.25">
      <c r="B7232"/>
      <c r="C7232"/>
      <c r="D7232"/>
      <c r="E7232"/>
      <c r="F7232"/>
      <c r="G7232" s="20"/>
      <c r="H7232"/>
      <c r="I7232"/>
    </row>
    <row r="7233" spans="2:9" ht="15" x14ac:dyDescent="0.25">
      <c r="B7233"/>
      <c r="C7233"/>
      <c r="D7233"/>
      <c r="E7233"/>
      <c r="F7233"/>
      <c r="G7233" s="20"/>
      <c r="H7233"/>
      <c r="I7233"/>
    </row>
    <row r="7234" spans="2:9" ht="15" x14ac:dyDescent="0.25">
      <c r="B7234"/>
      <c r="C7234"/>
      <c r="D7234"/>
      <c r="E7234"/>
      <c r="F7234"/>
      <c r="G7234" s="20"/>
      <c r="H7234"/>
      <c r="I7234"/>
    </row>
    <row r="7235" spans="2:9" ht="15" x14ac:dyDescent="0.25">
      <c r="B7235"/>
      <c r="C7235"/>
      <c r="D7235"/>
      <c r="E7235"/>
      <c r="F7235"/>
      <c r="G7235" s="20"/>
      <c r="H7235"/>
      <c r="I7235"/>
    </row>
    <row r="7236" spans="2:9" ht="15" x14ac:dyDescent="0.25">
      <c r="B7236"/>
      <c r="C7236"/>
      <c r="D7236"/>
      <c r="E7236"/>
      <c r="F7236"/>
      <c r="G7236" s="20"/>
      <c r="H7236"/>
      <c r="I7236"/>
    </row>
    <row r="7237" spans="2:9" ht="15" x14ac:dyDescent="0.25">
      <c r="B7237"/>
      <c r="C7237"/>
      <c r="D7237"/>
      <c r="E7237"/>
      <c r="F7237"/>
      <c r="G7237" s="20"/>
      <c r="H7237"/>
      <c r="I7237"/>
    </row>
    <row r="7238" spans="2:9" ht="15" x14ac:dyDescent="0.25">
      <c r="B7238"/>
      <c r="C7238"/>
      <c r="D7238"/>
      <c r="E7238"/>
      <c r="F7238"/>
      <c r="G7238" s="20"/>
      <c r="H7238"/>
      <c r="I7238"/>
    </row>
    <row r="7239" spans="2:9" ht="15" x14ac:dyDescent="0.25">
      <c r="B7239"/>
      <c r="C7239"/>
      <c r="D7239"/>
      <c r="E7239"/>
      <c r="F7239"/>
      <c r="G7239" s="20"/>
      <c r="H7239"/>
      <c r="I7239"/>
    </row>
    <row r="7240" spans="2:9" ht="15" x14ac:dyDescent="0.25">
      <c r="B7240"/>
      <c r="C7240"/>
      <c r="D7240"/>
      <c r="E7240"/>
      <c r="F7240"/>
      <c r="G7240" s="20"/>
      <c r="H7240"/>
      <c r="I7240"/>
    </row>
    <row r="7241" spans="2:9" ht="15" x14ac:dyDescent="0.25">
      <c r="B7241"/>
      <c r="C7241"/>
      <c r="D7241"/>
      <c r="E7241"/>
      <c r="F7241"/>
      <c r="G7241" s="20"/>
      <c r="H7241"/>
      <c r="I7241"/>
    </row>
    <row r="7242" spans="2:9" ht="15" x14ac:dyDescent="0.25">
      <c r="B7242"/>
      <c r="C7242"/>
      <c r="D7242"/>
      <c r="E7242"/>
      <c r="F7242"/>
      <c r="G7242" s="20"/>
      <c r="H7242"/>
      <c r="I7242"/>
    </row>
    <row r="7243" spans="2:9" ht="15" x14ac:dyDescent="0.25">
      <c r="B7243"/>
      <c r="C7243"/>
      <c r="D7243"/>
      <c r="E7243"/>
      <c r="F7243"/>
      <c r="G7243" s="20"/>
      <c r="H7243"/>
      <c r="I7243"/>
    </row>
    <row r="7244" spans="2:9" ht="15" x14ac:dyDescent="0.25">
      <c r="B7244"/>
      <c r="C7244"/>
      <c r="D7244"/>
      <c r="E7244"/>
      <c r="F7244"/>
      <c r="G7244" s="20"/>
      <c r="H7244"/>
      <c r="I7244"/>
    </row>
    <row r="7245" spans="2:9" ht="15" x14ac:dyDescent="0.25">
      <c r="B7245"/>
      <c r="C7245"/>
      <c r="D7245"/>
      <c r="E7245"/>
      <c r="F7245"/>
      <c r="G7245" s="20"/>
      <c r="H7245"/>
      <c r="I7245"/>
    </row>
    <row r="7246" spans="2:9" ht="15" x14ac:dyDescent="0.25">
      <c r="B7246"/>
      <c r="C7246"/>
      <c r="D7246"/>
      <c r="E7246"/>
      <c r="F7246"/>
      <c r="G7246" s="20"/>
      <c r="H7246"/>
      <c r="I7246"/>
    </row>
    <row r="7247" spans="2:9" ht="15" x14ac:dyDescent="0.25">
      <c r="B7247"/>
      <c r="C7247"/>
      <c r="D7247"/>
      <c r="E7247"/>
      <c r="F7247"/>
      <c r="G7247" s="20"/>
      <c r="H7247"/>
      <c r="I7247"/>
    </row>
    <row r="7248" spans="2:9" ht="15" x14ac:dyDescent="0.25">
      <c r="B7248"/>
      <c r="C7248"/>
      <c r="D7248"/>
      <c r="E7248"/>
      <c r="F7248"/>
      <c r="G7248" s="20"/>
      <c r="H7248"/>
      <c r="I7248"/>
    </row>
    <row r="7249" spans="2:9" ht="15" x14ac:dyDescent="0.25">
      <c r="B7249"/>
      <c r="C7249"/>
      <c r="D7249"/>
      <c r="E7249"/>
      <c r="F7249"/>
      <c r="G7249" s="20"/>
      <c r="H7249"/>
      <c r="I7249"/>
    </row>
    <row r="7250" spans="2:9" ht="15" x14ac:dyDescent="0.25">
      <c r="B7250"/>
      <c r="C7250"/>
      <c r="D7250"/>
      <c r="E7250"/>
      <c r="F7250"/>
      <c r="G7250" s="20"/>
      <c r="H7250"/>
      <c r="I7250"/>
    </row>
    <row r="7251" spans="2:9" ht="15" x14ac:dyDescent="0.25">
      <c r="B7251"/>
      <c r="C7251"/>
      <c r="D7251"/>
      <c r="E7251"/>
      <c r="F7251"/>
      <c r="G7251" s="20"/>
      <c r="H7251"/>
      <c r="I7251"/>
    </row>
    <row r="7252" spans="2:9" ht="15" x14ac:dyDescent="0.25">
      <c r="B7252"/>
      <c r="C7252"/>
      <c r="D7252"/>
      <c r="E7252"/>
      <c r="F7252"/>
      <c r="G7252" s="20"/>
      <c r="H7252"/>
      <c r="I7252"/>
    </row>
    <row r="7253" spans="2:9" ht="15" x14ac:dyDescent="0.25">
      <c r="B7253"/>
      <c r="C7253"/>
      <c r="D7253"/>
      <c r="E7253"/>
      <c r="F7253"/>
      <c r="G7253" s="20"/>
      <c r="H7253"/>
      <c r="I7253"/>
    </row>
    <row r="7254" spans="2:9" ht="15" x14ac:dyDescent="0.25">
      <c r="B7254"/>
      <c r="C7254"/>
      <c r="D7254"/>
      <c r="E7254"/>
      <c r="F7254"/>
      <c r="G7254" s="20"/>
      <c r="H7254"/>
      <c r="I7254"/>
    </row>
    <row r="7255" spans="2:9" ht="15" x14ac:dyDescent="0.25">
      <c r="B7255"/>
      <c r="C7255"/>
      <c r="D7255"/>
      <c r="E7255"/>
      <c r="F7255"/>
      <c r="G7255" s="20"/>
      <c r="H7255"/>
      <c r="I7255"/>
    </row>
    <row r="7256" spans="2:9" ht="15" x14ac:dyDescent="0.25">
      <c r="B7256"/>
      <c r="C7256"/>
      <c r="D7256"/>
      <c r="E7256"/>
      <c r="F7256"/>
      <c r="G7256" s="20"/>
      <c r="H7256"/>
      <c r="I7256"/>
    </row>
    <row r="7257" spans="2:9" ht="15" x14ac:dyDescent="0.25">
      <c r="B7257"/>
      <c r="C7257"/>
      <c r="D7257"/>
      <c r="E7257"/>
      <c r="F7257"/>
      <c r="G7257" s="20"/>
      <c r="H7257"/>
      <c r="I7257"/>
    </row>
    <row r="7258" spans="2:9" ht="15" x14ac:dyDescent="0.25">
      <c r="B7258"/>
      <c r="C7258"/>
      <c r="D7258"/>
      <c r="E7258"/>
      <c r="F7258"/>
      <c r="G7258" s="20"/>
      <c r="H7258"/>
      <c r="I7258"/>
    </row>
    <row r="7259" spans="2:9" ht="15" x14ac:dyDescent="0.25">
      <c r="B7259"/>
      <c r="C7259"/>
      <c r="D7259"/>
      <c r="E7259"/>
      <c r="F7259"/>
      <c r="G7259" s="20"/>
      <c r="H7259"/>
      <c r="I7259"/>
    </row>
    <row r="7260" spans="2:9" ht="15" x14ac:dyDescent="0.25">
      <c r="B7260"/>
      <c r="C7260"/>
      <c r="D7260"/>
      <c r="E7260"/>
      <c r="F7260"/>
      <c r="G7260" s="20"/>
      <c r="H7260"/>
      <c r="I7260"/>
    </row>
    <row r="7261" spans="2:9" ht="15" x14ac:dyDescent="0.25">
      <c r="B7261"/>
      <c r="C7261"/>
      <c r="D7261"/>
      <c r="E7261"/>
      <c r="F7261"/>
      <c r="G7261" s="20"/>
      <c r="H7261"/>
      <c r="I7261"/>
    </row>
    <row r="7262" spans="2:9" ht="15" x14ac:dyDescent="0.25">
      <c r="B7262"/>
      <c r="C7262"/>
      <c r="D7262"/>
      <c r="E7262"/>
      <c r="F7262"/>
      <c r="G7262" s="20"/>
      <c r="H7262"/>
      <c r="I7262"/>
    </row>
    <row r="7263" spans="2:9" ht="15" x14ac:dyDescent="0.25">
      <c r="B7263"/>
      <c r="C7263"/>
      <c r="D7263"/>
      <c r="E7263"/>
      <c r="F7263"/>
      <c r="G7263" s="20"/>
      <c r="H7263"/>
      <c r="I7263"/>
    </row>
    <row r="7264" spans="2:9" ht="15" x14ac:dyDescent="0.25">
      <c r="B7264"/>
      <c r="C7264"/>
      <c r="D7264"/>
      <c r="E7264"/>
      <c r="F7264"/>
      <c r="G7264" s="20"/>
      <c r="H7264"/>
      <c r="I7264"/>
    </row>
    <row r="7265" spans="2:9" ht="15" x14ac:dyDescent="0.25">
      <c r="B7265"/>
      <c r="C7265"/>
      <c r="D7265"/>
      <c r="E7265"/>
      <c r="F7265"/>
      <c r="G7265" s="20"/>
      <c r="H7265"/>
      <c r="I7265"/>
    </row>
    <row r="7266" spans="2:9" ht="15" x14ac:dyDescent="0.25">
      <c r="B7266"/>
      <c r="C7266"/>
      <c r="D7266"/>
      <c r="E7266"/>
      <c r="F7266"/>
      <c r="G7266" s="20"/>
      <c r="H7266"/>
      <c r="I7266"/>
    </row>
    <row r="7267" spans="2:9" ht="15" x14ac:dyDescent="0.25">
      <c r="B7267"/>
      <c r="C7267"/>
      <c r="D7267"/>
      <c r="E7267"/>
      <c r="F7267"/>
      <c r="G7267" s="20"/>
      <c r="H7267"/>
      <c r="I7267"/>
    </row>
    <row r="7268" spans="2:9" ht="15" x14ac:dyDescent="0.25">
      <c r="B7268"/>
      <c r="C7268"/>
      <c r="D7268"/>
      <c r="E7268"/>
      <c r="F7268"/>
      <c r="G7268" s="20"/>
      <c r="H7268"/>
      <c r="I7268"/>
    </row>
    <row r="7269" spans="2:9" ht="15" x14ac:dyDescent="0.25">
      <c r="B7269"/>
      <c r="C7269"/>
      <c r="D7269"/>
      <c r="E7269"/>
      <c r="F7269"/>
      <c r="G7269" s="20"/>
      <c r="H7269"/>
      <c r="I7269"/>
    </row>
    <row r="7270" spans="2:9" ht="15" x14ac:dyDescent="0.25">
      <c r="B7270"/>
      <c r="C7270"/>
      <c r="D7270"/>
      <c r="E7270"/>
      <c r="F7270"/>
      <c r="G7270" s="20"/>
      <c r="H7270"/>
      <c r="I7270"/>
    </row>
    <row r="7271" spans="2:9" ht="15" x14ac:dyDescent="0.25">
      <c r="B7271"/>
      <c r="C7271"/>
      <c r="D7271"/>
      <c r="E7271"/>
      <c r="F7271"/>
      <c r="G7271" s="20"/>
      <c r="H7271"/>
      <c r="I7271"/>
    </row>
    <row r="7272" spans="2:9" ht="15" x14ac:dyDescent="0.25">
      <c r="B7272"/>
      <c r="C7272"/>
      <c r="D7272"/>
      <c r="E7272"/>
      <c r="F7272"/>
      <c r="G7272" s="20"/>
      <c r="H7272"/>
      <c r="I7272"/>
    </row>
    <row r="7273" spans="2:9" ht="15" x14ac:dyDescent="0.25">
      <c r="B7273"/>
      <c r="C7273"/>
      <c r="D7273"/>
      <c r="E7273"/>
      <c r="F7273"/>
      <c r="G7273" s="20"/>
      <c r="H7273"/>
      <c r="I7273"/>
    </row>
    <row r="7274" spans="2:9" ht="15" x14ac:dyDescent="0.25">
      <c r="B7274"/>
      <c r="C7274"/>
      <c r="D7274"/>
      <c r="E7274"/>
      <c r="F7274"/>
      <c r="G7274" s="20"/>
      <c r="H7274"/>
      <c r="I7274"/>
    </row>
    <row r="7275" spans="2:9" ht="15" x14ac:dyDescent="0.25">
      <c r="B7275"/>
      <c r="C7275"/>
      <c r="D7275"/>
      <c r="E7275"/>
      <c r="F7275"/>
      <c r="G7275" s="20"/>
      <c r="H7275"/>
      <c r="I7275"/>
    </row>
    <row r="7276" spans="2:9" ht="15" x14ac:dyDescent="0.25">
      <c r="B7276"/>
      <c r="C7276"/>
      <c r="D7276"/>
      <c r="E7276"/>
      <c r="F7276"/>
      <c r="G7276" s="20"/>
      <c r="H7276"/>
      <c r="I7276"/>
    </row>
    <row r="7277" spans="2:9" ht="15" x14ac:dyDescent="0.25">
      <c r="B7277"/>
      <c r="C7277"/>
      <c r="D7277"/>
      <c r="E7277"/>
      <c r="F7277"/>
      <c r="G7277" s="20"/>
      <c r="H7277"/>
      <c r="I7277"/>
    </row>
    <row r="7278" spans="2:9" ht="15" x14ac:dyDescent="0.25">
      <c r="B7278"/>
      <c r="C7278"/>
      <c r="D7278"/>
      <c r="E7278"/>
      <c r="F7278"/>
      <c r="G7278" s="20"/>
      <c r="H7278"/>
      <c r="I7278"/>
    </row>
    <row r="7279" spans="2:9" ht="15" x14ac:dyDescent="0.25">
      <c r="B7279"/>
      <c r="C7279"/>
      <c r="D7279"/>
      <c r="E7279"/>
      <c r="F7279"/>
      <c r="G7279" s="20"/>
      <c r="H7279"/>
      <c r="I7279"/>
    </row>
    <row r="7280" spans="2:9" ht="15" x14ac:dyDescent="0.25">
      <c r="B7280"/>
      <c r="C7280"/>
      <c r="D7280"/>
      <c r="E7280"/>
      <c r="F7280"/>
      <c r="G7280" s="20"/>
      <c r="H7280"/>
      <c r="I7280"/>
    </row>
    <row r="7281" spans="2:9" ht="15" x14ac:dyDescent="0.25">
      <c r="B7281"/>
      <c r="C7281"/>
      <c r="D7281"/>
      <c r="E7281"/>
      <c r="F7281"/>
      <c r="G7281" s="20"/>
      <c r="H7281"/>
      <c r="I7281"/>
    </row>
    <row r="7282" spans="2:9" ht="15" x14ac:dyDescent="0.25">
      <c r="B7282"/>
      <c r="C7282"/>
      <c r="D7282"/>
      <c r="E7282"/>
      <c r="F7282"/>
      <c r="G7282" s="20"/>
      <c r="H7282"/>
      <c r="I7282"/>
    </row>
    <row r="7283" spans="2:9" ht="15" x14ac:dyDescent="0.25">
      <c r="B7283"/>
      <c r="C7283"/>
      <c r="D7283"/>
      <c r="E7283"/>
      <c r="F7283"/>
      <c r="G7283" s="20"/>
      <c r="H7283"/>
      <c r="I7283"/>
    </row>
    <row r="7284" spans="2:9" ht="15" x14ac:dyDescent="0.25">
      <c r="B7284"/>
      <c r="C7284"/>
      <c r="D7284"/>
      <c r="E7284"/>
      <c r="F7284"/>
      <c r="G7284" s="20"/>
      <c r="H7284"/>
      <c r="I7284"/>
    </row>
    <row r="7285" spans="2:9" ht="15" x14ac:dyDescent="0.25">
      <c r="B7285"/>
      <c r="C7285"/>
      <c r="D7285"/>
      <c r="E7285"/>
      <c r="F7285"/>
      <c r="G7285" s="20"/>
      <c r="H7285"/>
      <c r="I7285"/>
    </row>
    <row r="7286" spans="2:9" ht="15" x14ac:dyDescent="0.25">
      <c r="B7286"/>
      <c r="C7286"/>
      <c r="D7286"/>
      <c r="E7286"/>
      <c r="F7286"/>
      <c r="G7286" s="20"/>
      <c r="H7286"/>
      <c r="I7286"/>
    </row>
    <row r="7287" spans="2:9" ht="15" x14ac:dyDescent="0.25">
      <c r="B7287"/>
      <c r="C7287"/>
      <c r="D7287"/>
      <c r="E7287"/>
      <c r="F7287"/>
      <c r="G7287" s="20"/>
      <c r="H7287"/>
      <c r="I7287"/>
    </row>
    <row r="7288" spans="2:9" ht="15" x14ac:dyDescent="0.25">
      <c r="B7288"/>
      <c r="C7288"/>
      <c r="D7288"/>
      <c r="E7288"/>
      <c r="F7288"/>
      <c r="G7288" s="20"/>
      <c r="H7288"/>
      <c r="I7288"/>
    </row>
    <row r="7289" spans="2:9" ht="15" x14ac:dyDescent="0.25">
      <c r="B7289"/>
      <c r="C7289"/>
      <c r="D7289"/>
      <c r="E7289"/>
      <c r="F7289"/>
      <c r="G7289" s="20"/>
      <c r="H7289"/>
      <c r="I7289"/>
    </row>
    <row r="7290" spans="2:9" ht="15" x14ac:dyDescent="0.25">
      <c r="B7290"/>
      <c r="C7290"/>
      <c r="D7290"/>
      <c r="E7290"/>
      <c r="F7290"/>
      <c r="G7290" s="20"/>
      <c r="H7290"/>
      <c r="I7290"/>
    </row>
    <row r="7291" spans="2:9" ht="15" x14ac:dyDescent="0.25">
      <c r="B7291"/>
      <c r="C7291"/>
      <c r="D7291"/>
      <c r="E7291"/>
      <c r="F7291"/>
      <c r="G7291" s="20"/>
      <c r="H7291"/>
      <c r="I7291"/>
    </row>
    <row r="7292" spans="2:9" ht="15" x14ac:dyDescent="0.25">
      <c r="B7292"/>
      <c r="C7292"/>
      <c r="D7292"/>
      <c r="E7292"/>
      <c r="F7292"/>
      <c r="G7292" s="20"/>
      <c r="H7292"/>
      <c r="I7292"/>
    </row>
    <row r="7293" spans="2:9" ht="15" x14ac:dyDescent="0.25">
      <c r="B7293"/>
      <c r="C7293"/>
      <c r="D7293"/>
      <c r="E7293"/>
      <c r="F7293"/>
      <c r="G7293" s="20"/>
      <c r="H7293"/>
      <c r="I7293"/>
    </row>
    <row r="7294" spans="2:9" ht="15" x14ac:dyDescent="0.25">
      <c r="B7294"/>
      <c r="C7294"/>
      <c r="D7294"/>
      <c r="E7294"/>
      <c r="F7294"/>
      <c r="G7294" s="20"/>
      <c r="H7294"/>
      <c r="I7294"/>
    </row>
    <row r="7295" spans="2:9" ht="15" x14ac:dyDescent="0.25">
      <c r="B7295"/>
      <c r="C7295"/>
      <c r="D7295"/>
      <c r="E7295"/>
      <c r="F7295"/>
      <c r="G7295" s="20"/>
      <c r="H7295"/>
      <c r="I7295"/>
    </row>
    <row r="7296" spans="2:9" ht="15" x14ac:dyDescent="0.25">
      <c r="B7296"/>
      <c r="C7296"/>
      <c r="D7296"/>
      <c r="E7296"/>
      <c r="F7296"/>
      <c r="G7296" s="20"/>
      <c r="H7296"/>
      <c r="I7296"/>
    </row>
    <row r="7297" spans="2:9" ht="15" x14ac:dyDescent="0.25">
      <c r="B7297"/>
      <c r="C7297"/>
      <c r="D7297"/>
      <c r="E7297"/>
      <c r="F7297"/>
      <c r="G7297" s="20"/>
      <c r="H7297"/>
      <c r="I7297"/>
    </row>
    <row r="7298" spans="2:9" ht="15" x14ac:dyDescent="0.25">
      <c r="B7298"/>
      <c r="C7298"/>
      <c r="D7298"/>
      <c r="E7298"/>
      <c r="F7298"/>
      <c r="G7298" s="20"/>
      <c r="H7298"/>
      <c r="I7298"/>
    </row>
    <row r="7299" spans="2:9" ht="15" x14ac:dyDescent="0.25">
      <c r="B7299"/>
      <c r="C7299"/>
      <c r="D7299"/>
      <c r="E7299"/>
      <c r="F7299"/>
      <c r="G7299" s="20"/>
      <c r="H7299"/>
      <c r="I7299"/>
    </row>
    <row r="7300" spans="2:9" ht="15" x14ac:dyDescent="0.25">
      <c r="B7300"/>
      <c r="C7300"/>
      <c r="D7300"/>
      <c r="E7300"/>
      <c r="F7300"/>
      <c r="G7300" s="20"/>
      <c r="H7300"/>
      <c r="I7300"/>
    </row>
    <row r="7301" spans="2:9" ht="15" x14ac:dyDescent="0.25">
      <c r="B7301"/>
      <c r="C7301"/>
      <c r="D7301"/>
      <c r="E7301"/>
      <c r="F7301"/>
      <c r="G7301" s="20"/>
      <c r="H7301"/>
      <c r="I7301"/>
    </row>
    <row r="7302" spans="2:9" ht="15" x14ac:dyDescent="0.25">
      <c r="B7302"/>
      <c r="C7302"/>
      <c r="D7302"/>
      <c r="E7302"/>
      <c r="F7302"/>
      <c r="G7302" s="20"/>
      <c r="H7302"/>
      <c r="I7302"/>
    </row>
    <row r="7303" spans="2:9" ht="15" x14ac:dyDescent="0.25">
      <c r="B7303"/>
      <c r="C7303"/>
      <c r="D7303"/>
      <c r="E7303"/>
      <c r="F7303"/>
      <c r="G7303" s="20"/>
      <c r="H7303"/>
      <c r="I7303"/>
    </row>
    <row r="7304" spans="2:9" ht="15" x14ac:dyDescent="0.25">
      <c r="B7304"/>
      <c r="C7304"/>
      <c r="D7304"/>
      <c r="E7304"/>
      <c r="F7304"/>
      <c r="G7304" s="20"/>
      <c r="H7304"/>
      <c r="I7304"/>
    </row>
    <row r="7305" spans="2:9" ht="15" x14ac:dyDescent="0.25">
      <c r="B7305"/>
      <c r="C7305"/>
      <c r="D7305"/>
      <c r="E7305"/>
      <c r="F7305"/>
      <c r="G7305" s="20"/>
      <c r="H7305"/>
      <c r="I7305"/>
    </row>
    <row r="7306" spans="2:9" ht="15" x14ac:dyDescent="0.25">
      <c r="B7306"/>
      <c r="C7306"/>
      <c r="D7306"/>
      <c r="E7306"/>
      <c r="F7306"/>
      <c r="G7306" s="20"/>
      <c r="H7306"/>
      <c r="I7306"/>
    </row>
    <row r="7307" spans="2:9" ht="15" x14ac:dyDescent="0.25">
      <c r="B7307"/>
      <c r="C7307"/>
      <c r="D7307"/>
      <c r="E7307"/>
      <c r="F7307"/>
      <c r="G7307" s="20"/>
      <c r="H7307"/>
      <c r="I7307"/>
    </row>
    <row r="7308" spans="2:9" ht="15" x14ac:dyDescent="0.25">
      <c r="B7308"/>
      <c r="C7308"/>
      <c r="D7308"/>
      <c r="E7308"/>
      <c r="F7308"/>
      <c r="G7308" s="20"/>
      <c r="H7308"/>
      <c r="I7308"/>
    </row>
    <row r="7309" spans="2:9" ht="15" x14ac:dyDescent="0.25">
      <c r="B7309"/>
      <c r="C7309"/>
      <c r="D7309"/>
      <c r="E7309"/>
      <c r="F7309"/>
      <c r="G7309" s="20"/>
      <c r="H7309"/>
      <c r="I7309"/>
    </row>
    <row r="7310" spans="2:9" ht="15" x14ac:dyDescent="0.25">
      <c r="B7310"/>
      <c r="C7310"/>
      <c r="D7310"/>
      <c r="E7310"/>
      <c r="F7310"/>
      <c r="G7310" s="20"/>
      <c r="H7310"/>
      <c r="I7310"/>
    </row>
    <row r="7311" spans="2:9" ht="15" x14ac:dyDescent="0.25">
      <c r="B7311"/>
      <c r="C7311"/>
      <c r="D7311"/>
      <c r="E7311"/>
      <c r="F7311"/>
      <c r="G7311" s="20"/>
      <c r="H7311"/>
      <c r="I7311"/>
    </row>
    <row r="7312" spans="2:9" ht="15" x14ac:dyDescent="0.25">
      <c r="B7312"/>
      <c r="C7312"/>
      <c r="D7312"/>
      <c r="E7312"/>
      <c r="F7312"/>
      <c r="G7312" s="20"/>
      <c r="H7312"/>
      <c r="I7312"/>
    </row>
    <row r="7313" spans="2:9" ht="15" x14ac:dyDescent="0.25">
      <c r="B7313"/>
      <c r="C7313"/>
      <c r="D7313"/>
      <c r="E7313"/>
      <c r="F7313"/>
      <c r="G7313" s="20"/>
      <c r="H7313"/>
      <c r="I7313"/>
    </row>
    <row r="7314" spans="2:9" ht="15" x14ac:dyDescent="0.25">
      <c r="B7314"/>
      <c r="C7314"/>
      <c r="D7314"/>
      <c r="E7314"/>
      <c r="F7314"/>
      <c r="G7314" s="20"/>
      <c r="H7314"/>
      <c r="I7314"/>
    </row>
    <row r="7315" spans="2:9" ht="15" x14ac:dyDescent="0.25">
      <c r="B7315"/>
      <c r="C7315"/>
      <c r="D7315"/>
      <c r="E7315"/>
      <c r="F7315"/>
      <c r="G7315" s="20"/>
      <c r="H7315"/>
      <c r="I7315"/>
    </row>
    <row r="7316" spans="2:9" ht="15" x14ac:dyDescent="0.25">
      <c r="B7316"/>
      <c r="C7316"/>
      <c r="D7316"/>
      <c r="E7316"/>
      <c r="F7316"/>
      <c r="G7316" s="20"/>
      <c r="H7316"/>
      <c r="I7316"/>
    </row>
    <row r="7317" spans="2:9" ht="15" x14ac:dyDescent="0.25">
      <c r="B7317"/>
      <c r="C7317"/>
      <c r="D7317"/>
      <c r="E7317"/>
      <c r="F7317"/>
      <c r="G7317" s="20"/>
      <c r="H7317"/>
      <c r="I7317"/>
    </row>
    <row r="7318" spans="2:9" ht="15" x14ac:dyDescent="0.25">
      <c r="B7318"/>
      <c r="C7318"/>
      <c r="D7318"/>
      <c r="E7318"/>
      <c r="F7318"/>
      <c r="G7318" s="20"/>
      <c r="H7318"/>
      <c r="I7318"/>
    </row>
    <row r="7319" spans="2:9" ht="15" x14ac:dyDescent="0.25">
      <c r="B7319"/>
      <c r="C7319"/>
      <c r="D7319"/>
      <c r="E7319"/>
      <c r="F7319"/>
      <c r="G7319" s="20"/>
      <c r="H7319"/>
      <c r="I7319"/>
    </row>
    <row r="7320" spans="2:9" ht="15" x14ac:dyDescent="0.25">
      <c r="B7320"/>
      <c r="C7320"/>
      <c r="D7320"/>
      <c r="E7320"/>
      <c r="F7320"/>
      <c r="G7320" s="20"/>
      <c r="H7320"/>
      <c r="I7320"/>
    </row>
    <row r="7321" spans="2:9" ht="15" x14ac:dyDescent="0.25">
      <c r="B7321"/>
      <c r="C7321"/>
      <c r="D7321"/>
      <c r="E7321"/>
      <c r="F7321"/>
      <c r="G7321" s="20"/>
      <c r="H7321"/>
      <c r="I7321"/>
    </row>
    <row r="7322" spans="2:9" ht="15" x14ac:dyDescent="0.25">
      <c r="B7322"/>
      <c r="C7322"/>
      <c r="D7322"/>
      <c r="E7322"/>
      <c r="F7322"/>
      <c r="G7322" s="20"/>
      <c r="H7322"/>
      <c r="I7322"/>
    </row>
    <row r="7323" spans="2:9" ht="15" x14ac:dyDescent="0.25">
      <c r="B7323"/>
      <c r="C7323"/>
      <c r="D7323"/>
      <c r="E7323"/>
      <c r="F7323"/>
      <c r="G7323" s="20"/>
      <c r="H7323"/>
      <c r="I7323"/>
    </row>
    <row r="7324" spans="2:9" ht="15" x14ac:dyDescent="0.25">
      <c r="B7324"/>
      <c r="C7324"/>
      <c r="D7324"/>
      <c r="E7324"/>
      <c r="F7324"/>
      <c r="G7324" s="20"/>
      <c r="H7324"/>
      <c r="I7324"/>
    </row>
    <row r="7325" spans="2:9" ht="15" x14ac:dyDescent="0.25">
      <c r="B7325"/>
      <c r="C7325"/>
      <c r="D7325"/>
      <c r="E7325"/>
      <c r="F7325"/>
      <c r="G7325" s="20"/>
      <c r="H7325"/>
      <c r="I7325"/>
    </row>
    <row r="7326" spans="2:9" ht="15" x14ac:dyDescent="0.25">
      <c r="B7326"/>
      <c r="C7326"/>
      <c r="D7326"/>
      <c r="E7326"/>
      <c r="F7326"/>
      <c r="G7326" s="20"/>
      <c r="H7326"/>
      <c r="I7326"/>
    </row>
    <row r="7327" spans="2:9" ht="15" x14ac:dyDescent="0.25">
      <c r="B7327"/>
      <c r="C7327"/>
      <c r="D7327"/>
      <c r="E7327"/>
      <c r="F7327"/>
      <c r="G7327" s="20"/>
      <c r="H7327"/>
      <c r="I7327"/>
    </row>
    <row r="7328" spans="2:9" ht="15" x14ac:dyDescent="0.25">
      <c r="B7328"/>
      <c r="C7328"/>
      <c r="D7328"/>
      <c r="E7328"/>
      <c r="F7328"/>
      <c r="G7328" s="20"/>
      <c r="H7328"/>
      <c r="I7328"/>
    </row>
    <row r="7329" spans="2:9" ht="15" x14ac:dyDescent="0.25">
      <c r="B7329"/>
      <c r="C7329"/>
      <c r="D7329"/>
      <c r="E7329"/>
      <c r="F7329"/>
      <c r="G7329" s="20"/>
      <c r="H7329"/>
      <c r="I7329"/>
    </row>
    <row r="7330" spans="2:9" ht="15" x14ac:dyDescent="0.25">
      <c r="B7330"/>
      <c r="C7330"/>
      <c r="D7330"/>
      <c r="E7330"/>
      <c r="F7330"/>
      <c r="G7330" s="20"/>
      <c r="H7330"/>
      <c r="I7330"/>
    </row>
    <row r="7331" spans="2:9" ht="15" x14ac:dyDescent="0.25">
      <c r="B7331"/>
      <c r="C7331"/>
      <c r="D7331"/>
      <c r="E7331"/>
      <c r="F7331"/>
      <c r="G7331" s="20"/>
      <c r="H7331"/>
      <c r="I7331"/>
    </row>
    <row r="7332" spans="2:9" ht="15" x14ac:dyDescent="0.25">
      <c r="B7332"/>
      <c r="C7332"/>
      <c r="D7332"/>
      <c r="E7332"/>
      <c r="F7332"/>
      <c r="G7332" s="20"/>
      <c r="H7332"/>
      <c r="I7332"/>
    </row>
    <row r="7333" spans="2:9" ht="15" x14ac:dyDescent="0.25">
      <c r="B7333"/>
      <c r="C7333"/>
      <c r="D7333"/>
      <c r="E7333"/>
      <c r="F7333"/>
      <c r="G7333" s="20"/>
      <c r="H7333"/>
      <c r="I7333"/>
    </row>
    <row r="7334" spans="2:9" ht="15" x14ac:dyDescent="0.25">
      <c r="B7334"/>
      <c r="C7334"/>
      <c r="D7334"/>
      <c r="E7334"/>
      <c r="F7334"/>
      <c r="G7334" s="20"/>
      <c r="H7334"/>
      <c r="I7334"/>
    </row>
    <row r="7335" spans="2:9" ht="15" x14ac:dyDescent="0.25">
      <c r="B7335"/>
      <c r="C7335"/>
      <c r="D7335"/>
      <c r="E7335"/>
      <c r="F7335"/>
      <c r="G7335" s="20"/>
      <c r="H7335"/>
      <c r="I7335"/>
    </row>
    <row r="7336" spans="2:9" ht="15" x14ac:dyDescent="0.25">
      <c r="B7336"/>
      <c r="C7336"/>
      <c r="D7336"/>
      <c r="E7336"/>
      <c r="F7336"/>
      <c r="G7336" s="20"/>
      <c r="H7336"/>
      <c r="I7336"/>
    </row>
    <row r="7337" spans="2:9" ht="15" x14ac:dyDescent="0.25">
      <c r="B7337"/>
      <c r="C7337"/>
      <c r="D7337"/>
      <c r="E7337"/>
      <c r="F7337"/>
      <c r="G7337" s="20"/>
      <c r="H7337"/>
      <c r="I7337"/>
    </row>
    <row r="7338" spans="2:9" ht="15" x14ac:dyDescent="0.25">
      <c r="B7338"/>
      <c r="C7338"/>
      <c r="D7338"/>
      <c r="E7338"/>
      <c r="F7338"/>
      <c r="G7338" s="20"/>
      <c r="H7338"/>
      <c r="I7338"/>
    </row>
    <row r="7339" spans="2:9" ht="15" x14ac:dyDescent="0.25">
      <c r="B7339"/>
      <c r="C7339"/>
      <c r="D7339"/>
      <c r="E7339"/>
      <c r="F7339"/>
      <c r="G7339" s="20"/>
      <c r="H7339"/>
      <c r="I7339"/>
    </row>
    <row r="7340" spans="2:9" ht="15" x14ac:dyDescent="0.25">
      <c r="B7340"/>
      <c r="C7340"/>
      <c r="D7340"/>
      <c r="E7340"/>
      <c r="F7340"/>
      <c r="G7340" s="20"/>
      <c r="H7340"/>
      <c r="I7340"/>
    </row>
    <row r="7341" spans="2:9" ht="15" x14ac:dyDescent="0.25">
      <c r="B7341"/>
      <c r="C7341"/>
      <c r="D7341"/>
      <c r="E7341"/>
      <c r="F7341"/>
      <c r="G7341" s="20"/>
      <c r="H7341"/>
      <c r="I7341"/>
    </row>
    <row r="7342" spans="2:9" ht="15" x14ac:dyDescent="0.25">
      <c r="B7342"/>
      <c r="C7342"/>
      <c r="D7342"/>
      <c r="E7342"/>
      <c r="F7342"/>
      <c r="G7342" s="20"/>
      <c r="H7342"/>
      <c r="I7342"/>
    </row>
    <row r="7343" spans="2:9" ht="15" x14ac:dyDescent="0.25">
      <c r="B7343"/>
      <c r="C7343"/>
      <c r="D7343"/>
      <c r="E7343"/>
      <c r="F7343"/>
      <c r="G7343" s="20"/>
      <c r="H7343"/>
      <c r="I7343"/>
    </row>
    <row r="7344" spans="2:9" ht="15" x14ac:dyDescent="0.25">
      <c r="B7344"/>
      <c r="C7344"/>
      <c r="D7344"/>
      <c r="E7344"/>
      <c r="F7344"/>
      <c r="G7344" s="20"/>
      <c r="H7344"/>
      <c r="I7344"/>
    </row>
    <row r="7345" spans="2:9" ht="15" x14ac:dyDescent="0.25">
      <c r="B7345"/>
      <c r="C7345"/>
      <c r="D7345"/>
      <c r="E7345"/>
      <c r="F7345"/>
      <c r="G7345" s="20"/>
      <c r="H7345"/>
      <c r="I7345"/>
    </row>
    <row r="7346" spans="2:9" ht="15" x14ac:dyDescent="0.25">
      <c r="B7346"/>
      <c r="C7346"/>
      <c r="D7346"/>
      <c r="E7346"/>
      <c r="F7346"/>
      <c r="G7346" s="20"/>
      <c r="H7346"/>
      <c r="I7346"/>
    </row>
    <row r="7347" spans="2:9" ht="15" x14ac:dyDescent="0.25">
      <c r="B7347"/>
      <c r="C7347"/>
      <c r="D7347"/>
      <c r="E7347"/>
      <c r="F7347"/>
      <c r="G7347" s="20"/>
      <c r="H7347"/>
      <c r="I7347"/>
    </row>
    <row r="7348" spans="2:9" ht="15" x14ac:dyDescent="0.25">
      <c r="B7348"/>
      <c r="C7348"/>
      <c r="D7348"/>
      <c r="E7348"/>
      <c r="F7348"/>
      <c r="G7348" s="20"/>
      <c r="H7348"/>
      <c r="I7348"/>
    </row>
    <row r="7349" spans="2:9" ht="15" x14ac:dyDescent="0.25">
      <c r="B7349"/>
      <c r="C7349"/>
      <c r="D7349"/>
      <c r="E7349"/>
      <c r="F7349"/>
      <c r="G7349" s="20"/>
      <c r="H7349"/>
      <c r="I7349"/>
    </row>
    <row r="7350" spans="2:9" ht="15" x14ac:dyDescent="0.25">
      <c r="B7350"/>
      <c r="C7350"/>
      <c r="D7350"/>
      <c r="E7350"/>
      <c r="F7350"/>
      <c r="G7350" s="20"/>
      <c r="H7350"/>
      <c r="I7350"/>
    </row>
    <row r="7351" spans="2:9" ht="15" x14ac:dyDescent="0.25">
      <c r="B7351"/>
      <c r="C7351"/>
      <c r="D7351"/>
      <c r="E7351"/>
      <c r="F7351"/>
      <c r="G7351" s="20"/>
      <c r="H7351"/>
      <c r="I7351"/>
    </row>
    <row r="7352" spans="2:9" ht="15" x14ac:dyDescent="0.25">
      <c r="B7352"/>
      <c r="C7352"/>
      <c r="D7352"/>
      <c r="E7352"/>
      <c r="F7352"/>
      <c r="G7352" s="20"/>
      <c r="H7352"/>
      <c r="I7352"/>
    </row>
    <row r="7353" spans="2:9" ht="15" x14ac:dyDescent="0.25">
      <c r="B7353"/>
      <c r="C7353"/>
      <c r="D7353"/>
      <c r="E7353"/>
      <c r="F7353"/>
      <c r="G7353" s="20"/>
      <c r="H7353"/>
      <c r="I7353"/>
    </row>
    <row r="7354" spans="2:9" ht="15" x14ac:dyDescent="0.25">
      <c r="B7354"/>
      <c r="C7354"/>
      <c r="D7354"/>
      <c r="E7354"/>
      <c r="F7354"/>
      <c r="G7354" s="20"/>
      <c r="H7354"/>
      <c r="I7354"/>
    </row>
    <row r="7355" spans="2:9" ht="15" x14ac:dyDescent="0.25">
      <c r="B7355"/>
      <c r="C7355"/>
      <c r="D7355"/>
      <c r="E7355"/>
      <c r="F7355"/>
      <c r="G7355" s="20"/>
      <c r="H7355"/>
      <c r="I7355"/>
    </row>
    <row r="7356" spans="2:9" ht="15" x14ac:dyDescent="0.25">
      <c r="B7356"/>
      <c r="C7356"/>
      <c r="D7356"/>
      <c r="E7356"/>
      <c r="F7356"/>
      <c r="G7356" s="20"/>
      <c r="H7356"/>
      <c r="I7356"/>
    </row>
    <row r="7357" spans="2:9" ht="15" x14ac:dyDescent="0.25">
      <c r="B7357"/>
      <c r="C7357"/>
      <c r="D7357"/>
      <c r="E7357"/>
      <c r="F7357"/>
      <c r="G7357" s="20"/>
      <c r="H7357"/>
      <c r="I7357"/>
    </row>
    <row r="7358" spans="2:9" ht="15" x14ac:dyDescent="0.25">
      <c r="B7358"/>
      <c r="C7358"/>
      <c r="D7358"/>
      <c r="E7358"/>
      <c r="F7358"/>
      <c r="G7358" s="20"/>
      <c r="H7358"/>
      <c r="I7358"/>
    </row>
    <row r="7359" spans="2:9" ht="15" x14ac:dyDescent="0.25">
      <c r="B7359"/>
      <c r="C7359"/>
      <c r="D7359"/>
      <c r="E7359"/>
      <c r="F7359"/>
      <c r="G7359" s="20"/>
      <c r="H7359"/>
      <c r="I7359"/>
    </row>
    <row r="7360" spans="2:9" ht="15" x14ac:dyDescent="0.25">
      <c r="B7360"/>
      <c r="C7360"/>
      <c r="D7360"/>
      <c r="E7360"/>
      <c r="F7360"/>
      <c r="G7360" s="20"/>
      <c r="H7360"/>
      <c r="I7360"/>
    </row>
    <row r="7361" spans="2:9" ht="15" x14ac:dyDescent="0.25">
      <c r="B7361"/>
      <c r="C7361"/>
      <c r="D7361"/>
      <c r="E7361"/>
      <c r="F7361"/>
      <c r="G7361" s="20"/>
      <c r="H7361"/>
      <c r="I7361"/>
    </row>
    <row r="7362" spans="2:9" ht="15" x14ac:dyDescent="0.25">
      <c r="B7362"/>
      <c r="C7362"/>
      <c r="D7362"/>
      <c r="E7362"/>
      <c r="F7362"/>
      <c r="G7362" s="20"/>
      <c r="H7362"/>
      <c r="I7362"/>
    </row>
    <row r="7363" spans="2:9" ht="15" x14ac:dyDescent="0.25">
      <c r="B7363"/>
      <c r="C7363"/>
      <c r="D7363"/>
      <c r="E7363"/>
      <c r="F7363"/>
      <c r="G7363" s="20"/>
      <c r="H7363"/>
      <c r="I7363"/>
    </row>
    <row r="7364" spans="2:9" ht="15" x14ac:dyDescent="0.25">
      <c r="B7364"/>
      <c r="C7364"/>
      <c r="D7364"/>
      <c r="E7364"/>
      <c r="F7364"/>
      <c r="G7364" s="20"/>
      <c r="H7364"/>
      <c r="I7364"/>
    </row>
    <row r="7365" spans="2:9" ht="15" x14ac:dyDescent="0.25">
      <c r="B7365"/>
      <c r="C7365"/>
      <c r="D7365"/>
      <c r="E7365"/>
      <c r="F7365"/>
      <c r="G7365" s="20"/>
      <c r="H7365"/>
      <c r="I7365"/>
    </row>
    <row r="7366" spans="2:9" ht="15" x14ac:dyDescent="0.25">
      <c r="B7366"/>
      <c r="C7366"/>
      <c r="D7366"/>
      <c r="E7366"/>
      <c r="F7366"/>
      <c r="G7366" s="20"/>
      <c r="H7366"/>
      <c r="I7366"/>
    </row>
    <row r="7367" spans="2:9" ht="15" x14ac:dyDescent="0.25">
      <c r="B7367"/>
      <c r="C7367"/>
      <c r="D7367"/>
      <c r="E7367"/>
      <c r="F7367"/>
      <c r="G7367" s="20"/>
      <c r="H7367"/>
      <c r="I7367"/>
    </row>
    <row r="7368" spans="2:9" ht="15" x14ac:dyDescent="0.25">
      <c r="B7368"/>
      <c r="C7368"/>
      <c r="D7368"/>
      <c r="E7368"/>
      <c r="F7368"/>
      <c r="G7368" s="20"/>
      <c r="H7368"/>
      <c r="I7368"/>
    </row>
    <row r="7369" spans="2:9" ht="15" x14ac:dyDescent="0.25">
      <c r="B7369"/>
      <c r="C7369"/>
      <c r="D7369"/>
      <c r="E7369"/>
      <c r="F7369"/>
      <c r="G7369" s="20"/>
      <c r="H7369"/>
      <c r="I7369"/>
    </row>
    <row r="7370" spans="2:9" ht="15" x14ac:dyDescent="0.25">
      <c r="B7370"/>
      <c r="C7370"/>
      <c r="D7370"/>
      <c r="E7370"/>
      <c r="F7370"/>
      <c r="G7370" s="20"/>
      <c r="H7370"/>
      <c r="I7370"/>
    </row>
    <row r="7371" spans="2:9" ht="15" x14ac:dyDescent="0.25">
      <c r="B7371"/>
      <c r="C7371"/>
      <c r="D7371"/>
      <c r="E7371"/>
      <c r="F7371"/>
      <c r="G7371" s="20"/>
      <c r="H7371"/>
      <c r="I7371"/>
    </row>
    <row r="7372" spans="2:9" ht="15" x14ac:dyDescent="0.25">
      <c r="B7372"/>
      <c r="C7372"/>
      <c r="D7372"/>
      <c r="E7372"/>
      <c r="F7372"/>
      <c r="G7372" s="20"/>
      <c r="H7372"/>
      <c r="I7372"/>
    </row>
    <row r="7373" spans="2:9" ht="15" x14ac:dyDescent="0.25">
      <c r="B7373"/>
      <c r="C7373"/>
      <c r="D7373"/>
      <c r="E7373"/>
      <c r="F7373"/>
      <c r="G7373" s="20"/>
      <c r="H7373"/>
      <c r="I7373"/>
    </row>
    <row r="7374" spans="2:9" ht="15" x14ac:dyDescent="0.25">
      <c r="B7374"/>
      <c r="C7374"/>
      <c r="D7374"/>
      <c r="E7374"/>
      <c r="F7374"/>
      <c r="G7374" s="20"/>
      <c r="H7374"/>
      <c r="I7374"/>
    </row>
    <row r="7375" spans="2:9" ht="15" x14ac:dyDescent="0.25">
      <c r="B7375"/>
      <c r="C7375"/>
      <c r="D7375"/>
      <c r="E7375"/>
      <c r="F7375"/>
      <c r="G7375" s="20"/>
      <c r="H7375"/>
      <c r="I7375"/>
    </row>
    <row r="7376" spans="2:9" ht="15" x14ac:dyDescent="0.25">
      <c r="B7376"/>
      <c r="C7376"/>
      <c r="D7376"/>
      <c r="E7376"/>
      <c r="F7376"/>
      <c r="G7376" s="20"/>
      <c r="H7376"/>
      <c r="I7376"/>
    </row>
    <row r="7377" spans="2:9" ht="15" x14ac:dyDescent="0.25">
      <c r="B7377"/>
      <c r="C7377"/>
      <c r="D7377"/>
      <c r="E7377"/>
      <c r="F7377"/>
      <c r="G7377" s="20"/>
      <c r="H7377"/>
      <c r="I7377"/>
    </row>
    <row r="7378" spans="2:9" ht="15" x14ac:dyDescent="0.25">
      <c r="B7378"/>
      <c r="C7378"/>
      <c r="D7378"/>
      <c r="E7378"/>
      <c r="F7378"/>
      <c r="G7378" s="20"/>
      <c r="H7378"/>
      <c r="I7378"/>
    </row>
    <row r="7379" spans="2:9" ht="15" x14ac:dyDescent="0.25">
      <c r="B7379"/>
      <c r="C7379"/>
      <c r="D7379"/>
      <c r="E7379"/>
      <c r="F7379"/>
      <c r="G7379" s="20"/>
      <c r="H7379"/>
      <c r="I7379"/>
    </row>
    <row r="7380" spans="2:9" ht="15" x14ac:dyDescent="0.25">
      <c r="B7380"/>
      <c r="C7380"/>
      <c r="D7380"/>
      <c r="E7380"/>
      <c r="F7380"/>
      <c r="G7380" s="20"/>
      <c r="H7380"/>
      <c r="I7380"/>
    </row>
    <row r="7381" spans="2:9" ht="15" x14ac:dyDescent="0.25">
      <c r="B7381"/>
      <c r="C7381"/>
      <c r="D7381"/>
      <c r="E7381"/>
      <c r="F7381"/>
      <c r="G7381" s="20"/>
      <c r="H7381"/>
      <c r="I7381"/>
    </row>
    <row r="7382" spans="2:9" ht="15" x14ac:dyDescent="0.25">
      <c r="B7382"/>
      <c r="C7382"/>
      <c r="D7382"/>
      <c r="E7382"/>
      <c r="F7382"/>
      <c r="G7382" s="20"/>
      <c r="H7382"/>
      <c r="I7382"/>
    </row>
    <row r="7383" spans="2:9" ht="15" x14ac:dyDescent="0.25">
      <c r="B7383"/>
      <c r="C7383"/>
      <c r="D7383"/>
      <c r="E7383"/>
      <c r="F7383"/>
      <c r="G7383" s="20"/>
      <c r="H7383"/>
      <c r="I7383"/>
    </row>
    <row r="7384" spans="2:9" ht="15" x14ac:dyDescent="0.25">
      <c r="B7384"/>
      <c r="C7384"/>
      <c r="D7384"/>
      <c r="E7384"/>
      <c r="F7384"/>
      <c r="G7384" s="20"/>
      <c r="H7384"/>
      <c r="I7384"/>
    </row>
    <row r="7385" spans="2:9" ht="15" x14ac:dyDescent="0.25">
      <c r="B7385"/>
      <c r="C7385"/>
      <c r="D7385"/>
      <c r="E7385"/>
      <c r="F7385"/>
      <c r="G7385" s="20"/>
      <c r="H7385"/>
      <c r="I7385"/>
    </row>
    <row r="7386" spans="2:9" ht="15" x14ac:dyDescent="0.25">
      <c r="B7386"/>
      <c r="C7386"/>
      <c r="D7386"/>
      <c r="E7386"/>
      <c r="F7386"/>
      <c r="G7386" s="20"/>
      <c r="H7386"/>
      <c r="I7386"/>
    </row>
    <row r="7387" spans="2:9" ht="15" x14ac:dyDescent="0.25">
      <c r="B7387"/>
      <c r="C7387"/>
      <c r="D7387"/>
      <c r="E7387"/>
      <c r="F7387"/>
      <c r="G7387" s="20"/>
      <c r="H7387"/>
      <c r="I7387"/>
    </row>
    <row r="7388" spans="2:9" ht="15" x14ac:dyDescent="0.25">
      <c r="B7388"/>
      <c r="C7388"/>
      <c r="D7388"/>
      <c r="E7388"/>
      <c r="F7388"/>
      <c r="G7388" s="20"/>
      <c r="H7388"/>
      <c r="I7388"/>
    </row>
    <row r="7389" spans="2:9" ht="15" x14ac:dyDescent="0.25">
      <c r="B7389"/>
      <c r="C7389"/>
      <c r="D7389"/>
      <c r="E7389"/>
      <c r="F7389"/>
      <c r="G7389" s="20"/>
      <c r="H7389"/>
      <c r="I7389"/>
    </row>
    <row r="7390" spans="2:9" ht="15" x14ac:dyDescent="0.25">
      <c r="B7390"/>
      <c r="C7390"/>
      <c r="D7390"/>
      <c r="E7390"/>
      <c r="F7390"/>
      <c r="G7390" s="20"/>
      <c r="H7390"/>
      <c r="I7390"/>
    </row>
    <row r="7391" spans="2:9" ht="15" x14ac:dyDescent="0.25">
      <c r="B7391"/>
      <c r="C7391"/>
      <c r="D7391"/>
      <c r="E7391"/>
      <c r="F7391"/>
      <c r="G7391" s="20"/>
      <c r="H7391"/>
      <c r="I7391"/>
    </row>
    <row r="7392" spans="2:9" ht="15" x14ac:dyDescent="0.25">
      <c r="B7392"/>
      <c r="C7392"/>
      <c r="D7392"/>
      <c r="E7392"/>
      <c r="F7392"/>
      <c r="G7392" s="20"/>
      <c r="H7392"/>
      <c r="I7392"/>
    </row>
    <row r="7393" spans="2:9" ht="15" x14ac:dyDescent="0.25">
      <c r="B7393"/>
      <c r="C7393"/>
      <c r="D7393"/>
      <c r="E7393"/>
      <c r="F7393"/>
      <c r="G7393" s="20"/>
      <c r="H7393"/>
      <c r="I7393"/>
    </row>
    <row r="7394" spans="2:9" ht="15" x14ac:dyDescent="0.25">
      <c r="B7394"/>
      <c r="C7394"/>
      <c r="D7394"/>
      <c r="E7394"/>
      <c r="F7394"/>
      <c r="G7394" s="20"/>
      <c r="H7394"/>
      <c r="I7394"/>
    </row>
    <row r="7395" spans="2:9" ht="15" x14ac:dyDescent="0.25">
      <c r="B7395"/>
      <c r="C7395"/>
      <c r="D7395"/>
      <c r="E7395"/>
      <c r="F7395"/>
      <c r="G7395" s="20"/>
      <c r="H7395"/>
      <c r="I7395"/>
    </row>
    <row r="7396" spans="2:9" ht="15" x14ac:dyDescent="0.25">
      <c r="B7396"/>
      <c r="C7396"/>
      <c r="D7396"/>
      <c r="E7396"/>
      <c r="F7396"/>
      <c r="G7396" s="20"/>
      <c r="H7396"/>
      <c r="I7396"/>
    </row>
    <row r="7397" spans="2:9" ht="15" x14ac:dyDescent="0.25">
      <c r="B7397"/>
      <c r="C7397"/>
      <c r="D7397"/>
      <c r="E7397"/>
      <c r="F7397"/>
      <c r="G7397" s="20"/>
      <c r="H7397"/>
      <c r="I7397"/>
    </row>
    <row r="7398" spans="2:9" ht="15" x14ac:dyDescent="0.25">
      <c r="B7398"/>
      <c r="C7398"/>
      <c r="D7398"/>
      <c r="E7398"/>
      <c r="F7398"/>
      <c r="G7398" s="20"/>
      <c r="H7398"/>
      <c r="I7398"/>
    </row>
    <row r="7399" spans="2:9" ht="15" x14ac:dyDescent="0.25">
      <c r="B7399"/>
      <c r="C7399"/>
      <c r="D7399"/>
      <c r="E7399"/>
      <c r="F7399"/>
      <c r="G7399" s="20"/>
      <c r="H7399"/>
      <c r="I7399"/>
    </row>
    <row r="7400" spans="2:9" ht="15" x14ac:dyDescent="0.25">
      <c r="B7400"/>
      <c r="C7400"/>
      <c r="D7400"/>
      <c r="E7400"/>
      <c r="F7400"/>
      <c r="G7400" s="20"/>
      <c r="H7400"/>
      <c r="I7400"/>
    </row>
    <row r="7401" spans="2:9" ht="15" x14ac:dyDescent="0.25">
      <c r="B7401"/>
      <c r="C7401"/>
      <c r="D7401"/>
      <c r="E7401"/>
      <c r="F7401"/>
      <c r="G7401" s="20"/>
      <c r="H7401"/>
      <c r="I7401"/>
    </row>
    <row r="7402" spans="2:9" ht="15" x14ac:dyDescent="0.25">
      <c r="B7402"/>
      <c r="C7402"/>
      <c r="D7402"/>
      <c r="E7402"/>
      <c r="F7402"/>
      <c r="G7402" s="20"/>
      <c r="H7402"/>
      <c r="I7402"/>
    </row>
    <row r="7403" spans="2:9" ht="15" x14ac:dyDescent="0.25">
      <c r="B7403"/>
      <c r="C7403"/>
      <c r="D7403"/>
      <c r="E7403"/>
      <c r="F7403"/>
      <c r="G7403" s="20"/>
      <c r="H7403"/>
      <c r="I7403"/>
    </row>
    <row r="7404" spans="2:9" ht="15" x14ac:dyDescent="0.25">
      <c r="B7404"/>
      <c r="C7404"/>
      <c r="D7404"/>
      <c r="E7404"/>
      <c r="F7404"/>
      <c r="G7404" s="20"/>
      <c r="H7404"/>
      <c r="I7404"/>
    </row>
    <row r="7405" spans="2:9" ht="15" x14ac:dyDescent="0.25">
      <c r="B7405"/>
      <c r="C7405"/>
      <c r="D7405"/>
      <c r="E7405"/>
      <c r="F7405"/>
      <c r="G7405" s="20"/>
      <c r="H7405"/>
      <c r="I7405"/>
    </row>
    <row r="7406" spans="2:9" ht="15" x14ac:dyDescent="0.25">
      <c r="B7406"/>
      <c r="C7406"/>
      <c r="D7406"/>
      <c r="E7406"/>
      <c r="F7406"/>
      <c r="G7406" s="20"/>
      <c r="H7406"/>
      <c r="I7406"/>
    </row>
    <row r="7407" spans="2:9" ht="15" x14ac:dyDescent="0.25">
      <c r="B7407"/>
      <c r="C7407"/>
      <c r="D7407"/>
      <c r="E7407"/>
      <c r="F7407"/>
      <c r="G7407" s="20"/>
      <c r="H7407"/>
      <c r="I7407"/>
    </row>
    <row r="7408" spans="2:9" ht="15" x14ac:dyDescent="0.25">
      <c r="B7408"/>
      <c r="C7408"/>
      <c r="D7408"/>
      <c r="E7408"/>
      <c r="F7408"/>
      <c r="G7408" s="20"/>
      <c r="H7408"/>
      <c r="I7408"/>
    </row>
    <row r="7409" spans="2:9" ht="15" x14ac:dyDescent="0.25">
      <c r="B7409"/>
      <c r="C7409"/>
      <c r="D7409"/>
      <c r="E7409"/>
      <c r="F7409"/>
      <c r="G7409" s="20"/>
      <c r="H7409"/>
      <c r="I7409"/>
    </row>
    <row r="7410" spans="2:9" ht="15" x14ac:dyDescent="0.25">
      <c r="B7410"/>
      <c r="C7410"/>
      <c r="D7410"/>
      <c r="E7410"/>
      <c r="F7410"/>
      <c r="G7410" s="20"/>
      <c r="H7410"/>
      <c r="I7410"/>
    </row>
    <row r="7411" spans="2:9" ht="15" x14ac:dyDescent="0.25">
      <c r="B7411"/>
      <c r="C7411"/>
      <c r="D7411"/>
      <c r="E7411"/>
      <c r="F7411"/>
      <c r="G7411" s="20"/>
      <c r="H7411"/>
      <c r="I7411"/>
    </row>
    <row r="7412" spans="2:9" ht="15" x14ac:dyDescent="0.25">
      <c r="B7412"/>
      <c r="C7412"/>
      <c r="D7412"/>
      <c r="E7412"/>
      <c r="F7412"/>
      <c r="G7412" s="20"/>
      <c r="H7412"/>
      <c r="I7412"/>
    </row>
    <row r="7413" spans="2:9" ht="15" x14ac:dyDescent="0.25">
      <c r="B7413"/>
      <c r="C7413"/>
      <c r="D7413"/>
      <c r="E7413"/>
      <c r="F7413"/>
      <c r="G7413" s="20"/>
      <c r="H7413"/>
      <c r="I7413"/>
    </row>
    <row r="7414" spans="2:9" ht="15" x14ac:dyDescent="0.25">
      <c r="B7414"/>
      <c r="C7414"/>
      <c r="D7414"/>
      <c r="E7414"/>
      <c r="F7414"/>
      <c r="G7414" s="20"/>
      <c r="H7414"/>
      <c r="I7414"/>
    </row>
    <row r="7415" spans="2:9" ht="15" x14ac:dyDescent="0.25">
      <c r="B7415"/>
      <c r="C7415"/>
      <c r="D7415"/>
      <c r="E7415"/>
      <c r="F7415"/>
      <c r="G7415" s="20"/>
      <c r="H7415"/>
      <c r="I7415"/>
    </row>
    <row r="7416" spans="2:9" ht="15" x14ac:dyDescent="0.25">
      <c r="B7416"/>
      <c r="C7416"/>
      <c r="D7416"/>
      <c r="E7416"/>
      <c r="F7416"/>
      <c r="G7416" s="20"/>
      <c r="H7416"/>
      <c r="I7416"/>
    </row>
    <row r="7417" spans="2:9" ht="15" x14ac:dyDescent="0.25">
      <c r="B7417"/>
      <c r="C7417"/>
      <c r="D7417"/>
      <c r="E7417"/>
      <c r="F7417"/>
      <c r="G7417" s="20"/>
      <c r="H7417"/>
      <c r="I7417"/>
    </row>
    <row r="7418" spans="2:9" ht="15" x14ac:dyDescent="0.25">
      <c r="B7418"/>
      <c r="C7418"/>
      <c r="D7418"/>
      <c r="E7418"/>
      <c r="F7418"/>
      <c r="G7418" s="20"/>
      <c r="H7418"/>
      <c r="I7418"/>
    </row>
    <row r="7419" spans="2:9" ht="15" x14ac:dyDescent="0.25">
      <c r="B7419"/>
      <c r="C7419"/>
      <c r="D7419"/>
      <c r="E7419"/>
      <c r="F7419"/>
      <c r="G7419" s="20"/>
      <c r="H7419"/>
      <c r="I7419"/>
    </row>
    <row r="7420" spans="2:9" ht="15" x14ac:dyDescent="0.25">
      <c r="B7420"/>
      <c r="C7420"/>
      <c r="D7420"/>
      <c r="E7420"/>
      <c r="F7420"/>
      <c r="G7420" s="20"/>
      <c r="H7420"/>
      <c r="I7420"/>
    </row>
    <row r="7421" spans="2:9" ht="15" x14ac:dyDescent="0.25">
      <c r="B7421"/>
      <c r="C7421"/>
      <c r="D7421"/>
      <c r="E7421"/>
      <c r="F7421"/>
      <c r="G7421" s="20"/>
      <c r="H7421"/>
      <c r="I7421"/>
    </row>
    <row r="7422" spans="2:9" ht="15" x14ac:dyDescent="0.25">
      <c r="B7422"/>
      <c r="C7422"/>
      <c r="D7422"/>
      <c r="E7422"/>
      <c r="F7422"/>
      <c r="G7422" s="20"/>
      <c r="H7422"/>
      <c r="I7422"/>
    </row>
    <row r="7423" spans="2:9" ht="15" x14ac:dyDescent="0.25">
      <c r="B7423"/>
      <c r="C7423"/>
      <c r="D7423"/>
      <c r="E7423"/>
      <c r="F7423"/>
      <c r="G7423" s="20"/>
      <c r="H7423"/>
      <c r="I7423"/>
    </row>
    <row r="7424" spans="2:9" ht="15" x14ac:dyDescent="0.25">
      <c r="B7424"/>
      <c r="C7424"/>
      <c r="D7424"/>
      <c r="E7424"/>
      <c r="F7424"/>
      <c r="G7424" s="20"/>
      <c r="H7424"/>
      <c r="I7424"/>
    </row>
    <row r="7425" spans="2:9" ht="15" x14ac:dyDescent="0.25">
      <c r="B7425"/>
      <c r="C7425"/>
      <c r="D7425"/>
      <c r="E7425"/>
      <c r="F7425"/>
      <c r="G7425" s="20"/>
      <c r="H7425"/>
      <c r="I7425"/>
    </row>
    <row r="7426" spans="2:9" ht="15" x14ac:dyDescent="0.25">
      <c r="B7426"/>
      <c r="C7426"/>
      <c r="D7426"/>
      <c r="E7426"/>
      <c r="F7426"/>
      <c r="G7426" s="20"/>
      <c r="H7426"/>
      <c r="I7426"/>
    </row>
    <row r="7427" spans="2:9" ht="15" x14ac:dyDescent="0.25">
      <c r="B7427"/>
      <c r="C7427"/>
      <c r="D7427"/>
      <c r="E7427"/>
      <c r="F7427"/>
      <c r="G7427" s="20"/>
      <c r="H7427"/>
      <c r="I7427"/>
    </row>
    <row r="7428" spans="2:9" ht="15" x14ac:dyDescent="0.25">
      <c r="B7428"/>
      <c r="C7428"/>
      <c r="D7428"/>
      <c r="E7428"/>
      <c r="F7428"/>
      <c r="G7428" s="20"/>
      <c r="H7428"/>
      <c r="I7428"/>
    </row>
    <row r="7429" spans="2:9" ht="15" x14ac:dyDescent="0.25">
      <c r="B7429"/>
      <c r="C7429"/>
      <c r="D7429"/>
      <c r="E7429"/>
      <c r="F7429"/>
      <c r="G7429" s="20"/>
      <c r="H7429"/>
      <c r="I7429"/>
    </row>
    <row r="7430" spans="2:9" ht="15" x14ac:dyDescent="0.25">
      <c r="B7430"/>
      <c r="C7430"/>
      <c r="D7430"/>
      <c r="E7430"/>
      <c r="F7430"/>
      <c r="G7430" s="20"/>
      <c r="H7430"/>
      <c r="I7430"/>
    </row>
    <row r="7431" spans="2:9" ht="15" x14ac:dyDescent="0.25">
      <c r="B7431"/>
      <c r="C7431"/>
      <c r="D7431"/>
      <c r="E7431"/>
      <c r="F7431"/>
      <c r="G7431" s="20"/>
      <c r="H7431"/>
      <c r="I7431"/>
    </row>
    <row r="7432" spans="2:9" ht="15" x14ac:dyDescent="0.25">
      <c r="B7432"/>
      <c r="C7432"/>
      <c r="D7432"/>
      <c r="E7432"/>
      <c r="F7432"/>
      <c r="G7432" s="20"/>
      <c r="H7432"/>
      <c r="I7432"/>
    </row>
    <row r="7433" spans="2:9" ht="15" x14ac:dyDescent="0.25">
      <c r="B7433"/>
      <c r="C7433"/>
      <c r="D7433"/>
      <c r="E7433"/>
      <c r="F7433"/>
      <c r="G7433" s="20"/>
      <c r="H7433"/>
      <c r="I7433"/>
    </row>
    <row r="7434" spans="2:9" ht="15" x14ac:dyDescent="0.25">
      <c r="B7434"/>
      <c r="C7434"/>
      <c r="D7434"/>
      <c r="E7434"/>
      <c r="F7434"/>
      <c r="G7434" s="20"/>
      <c r="H7434"/>
      <c r="I7434"/>
    </row>
    <row r="7435" spans="2:9" ht="15" x14ac:dyDescent="0.25">
      <c r="B7435"/>
      <c r="C7435"/>
      <c r="D7435"/>
      <c r="E7435"/>
      <c r="F7435"/>
      <c r="G7435" s="20"/>
      <c r="H7435"/>
      <c r="I7435"/>
    </row>
    <row r="7436" spans="2:9" ht="15" x14ac:dyDescent="0.25">
      <c r="B7436"/>
      <c r="C7436"/>
      <c r="D7436"/>
      <c r="E7436"/>
      <c r="F7436"/>
      <c r="G7436" s="20"/>
      <c r="H7436"/>
      <c r="I7436"/>
    </row>
    <row r="7437" spans="2:9" ht="15" x14ac:dyDescent="0.25">
      <c r="B7437"/>
      <c r="C7437"/>
      <c r="D7437"/>
      <c r="E7437"/>
      <c r="F7437"/>
      <c r="G7437" s="20"/>
      <c r="H7437"/>
      <c r="I7437"/>
    </row>
    <row r="7438" spans="2:9" ht="15" x14ac:dyDescent="0.25">
      <c r="B7438"/>
      <c r="C7438"/>
      <c r="D7438"/>
      <c r="E7438"/>
      <c r="F7438"/>
      <c r="G7438" s="20"/>
      <c r="H7438"/>
      <c r="I7438"/>
    </row>
    <row r="7439" spans="2:9" ht="15" x14ac:dyDescent="0.25">
      <c r="B7439"/>
      <c r="C7439"/>
      <c r="D7439"/>
      <c r="E7439"/>
      <c r="F7439"/>
      <c r="G7439" s="20"/>
      <c r="H7439"/>
      <c r="I7439"/>
    </row>
    <row r="7440" spans="2:9" ht="15" x14ac:dyDescent="0.25">
      <c r="B7440"/>
      <c r="C7440"/>
      <c r="D7440"/>
      <c r="E7440"/>
      <c r="F7440"/>
      <c r="G7440" s="20"/>
      <c r="H7440"/>
      <c r="I7440"/>
    </row>
    <row r="7441" spans="2:9" ht="15" x14ac:dyDescent="0.25">
      <c r="B7441"/>
      <c r="C7441"/>
      <c r="D7441"/>
      <c r="E7441"/>
      <c r="F7441"/>
      <c r="G7441" s="20"/>
      <c r="H7441"/>
      <c r="I7441"/>
    </row>
    <row r="7442" spans="2:9" ht="15" x14ac:dyDescent="0.25">
      <c r="B7442"/>
      <c r="C7442"/>
      <c r="D7442"/>
      <c r="E7442"/>
      <c r="F7442"/>
      <c r="G7442" s="20"/>
      <c r="H7442"/>
      <c r="I7442"/>
    </row>
    <row r="7443" spans="2:9" ht="15" x14ac:dyDescent="0.25">
      <c r="B7443"/>
      <c r="C7443"/>
      <c r="D7443"/>
      <c r="E7443"/>
      <c r="F7443"/>
      <c r="G7443" s="20"/>
      <c r="H7443"/>
      <c r="I7443"/>
    </row>
    <row r="7444" spans="2:9" ht="15" x14ac:dyDescent="0.25">
      <c r="B7444"/>
      <c r="C7444"/>
      <c r="D7444"/>
      <c r="E7444"/>
      <c r="F7444"/>
      <c r="G7444" s="20"/>
      <c r="H7444"/>
      <c r="I7444"/>
    </row>
    <row r="7445" spans="2:9" ht="15" x14ac:dyDescent="0.25">
      <c r="B7445"/>
      <c r="C7445"/>
      <c r="D7445"/>
      <c r="E7445"/>
      <c r="F7445"/>
      <c r="G7445" s="20"/>
      <c r="H7445"/>
      <c r="I7445"/>
    </row>
    <row r="7446" spans="2:9" ht="15" x14ac:dyDescent="0.25">
      <c r="B7446"/>
      <c r="C7446"/>
      <c r="D7446"/>
      <c r="E7446"/>
      <c r="F7446"/>
      <c r="G7446" s="20"/>
      <c r="H7446"/>
      <c r="I7446"/>
    </row>
    <row r="7447" spans="2:9" ht="15" x14ac:dyDescent="0.25">
      <c r="B7447"/>
      <c r="C7447"/>
      <c r="D7447"/>
      <c r="E7447"/>
      <c r="F7447"/>
      <c r="G7447" s="20"/>
      <c r="H7447"/>
      <c r="I7447"/>
    </row>
    <row r="7448" spans="2:9" ht="15" x14ac:dyDescent="0.25">
      <c r="B7448"/>
      <c r="C7448"/>
      <c r="D7448"/>
      <c r="E7448"/>
      <c r="F7448"/>
      <c r="G7448" s="20"/>
      <c r="H7448"/>
      <c r="I7448"/>
    </row>
    <row r="7449" spans="2:9" ht="15" x14ac:dyDescent="0.25">
      <c r="B7449"/>
      <c r="C7449"/>
      <c r="D7449"/>
      <c r="E7449"/>
      <c r="F7449"/>
      <c r="G7449" s="20"/>
      <c r="H7449"/>
      <c r="I7449"/>
    </row>
    <row r="7450" spans="2:9" ht="15" x14ac:dyDescent="0.25">
      <c r="B7450"/>
      <c r="C7450"/>
      <c r="D7450"/>
      <c r="E7450"/>
      <c r="F7450"/>
      <c r="G7450" s="20"/>
      <c r="H7450"/>
      <c r="I7450"/>
    </row>
    <row r="7451" spans="2:9" ht="15" x14ac:dyDescent="0.25">
      <c r="B7451"/>
      <c r="C7451"/>
      <c r="D7451"/>
      <c r="E7451"/>
      <c r="F7451"/>
      <c r="G7451" s="20"/>
      <c r="H7451"/>
      <c r="I7451"/>
    </row>
    <row r="7452" spans="2:9" ht="15" x14ac:dyDescent="0.25">
      <c r="B7452"/>
      <c r="C7452"/>
      <c r="D7452"/>
      <c r="E7452"/>
      <c r="F7452"/>
      <c r="G7452" s="20"/>
      <c r="H7452"/>
      <c r="I7452"/>
    </row>
    <row r="7453" spans="2:9" ht="15" x14ac:dyDescent="0.25">
      <c r="B7453"/>
      <c r="C7453"/>
      <c r="D7453"/>
      <c r="E7453"/>
      <c r="F7453"/>
      <c r="G7453" s="20"/>
      <c r="H7453"/>
      <c r="I7453"/>
    </row>
    <row r="7454" spans="2:9" ht="15" x14ac:dyDescent="0.25">
      <c r="B7454"/>
      <c r="C7454"/>
      <c r="D7454"/>
      <c r="E7454"/>
      <c r="F7454"/>
      <c r="G7454" s="20"/>
      <c r="H7454"/>
      <c r="I7454"/>
    </row>
    <row r="7455" spans="2:9" ht="15" x14ac:dyDescent="0.25">
      <c r="B7455"/>
      <c r="C7455"/>
      <c r="D7455"/>
      <c r="E7455"/>
      <c r="F7455"/>
      <c r="G7455" s="20"/>
      <c r="H7455"/>
      <c r="I7455"/>
    </row>
    <row r="7456" spans="2:9" ht="15" x14ac:dyDescent="0.25">
      <c r="B7456"/>
      <c r="C7456"/>
      <c r="D7456"/>
      <c r="E7456"/>
      <c r="F7456"/>
      <c r="G7456" s="20"/>
      <c r="H7456"/>
      <c r="I7456"/>
    </row>
    <row r="7457" spans="2:9" ht="15" x14ac:dyDescent="0.25">
      <c r="B7457"/>
      <c r="C7457"/>
      <c r="D7457"/>
      <c r="E7457"/>
      <c r="F7457"/>
      <c r="G7457" s="20"/>
      <c r="H7457"/>
      <c r="I7457"/>
    </row>
    <row r="7458" spans="2:9" ht="15" x14ac:dyDescent="0.25">
      <c r="B7458"/>
      <c r="C7458"/>
      <c r="D7458"/>
      <c r="E7458"/>
      <c r="F7458"/>
      <c r="G7458" s="20"/>
      <c r="H7458"/>
      <c r="I7458"/>
    </row>
    <row r="7459" spans="2:9" ht="15" x14ac:dyDescent="0.25">
      <c r="B7459"/>
      <c r="C7459"/>
      <c r="D7459"/>
      <c r="E7459"/>
      <c r="F7459"/>
      <c r="G7459" s="20"/>
      <c r="H7459"/>
      <c r="I7459"/>
    </row>
    <row r="7460" spans="2:9" ht="15" x14ac:dyDescent="0.25">
      <c r="B7460"/>
      <c r="C7460"/>
      <c r="D7460"/>
      <c r="E7460"/>
      <c r="F7460"/>
      <c r="G7460" s="20"/>
      <c r="H7460"/>
      <c r="I7460"/>
    </row>
    <row r="7461" spans="2:9" ht="15" x14ac:dyDescent="0.25">
      <c r="B7461"/>
      <c r="C7461"/>
      <c r="D7461"/>
      <c r="E7461"/>
      <c r="F7461"/>
      <c r="G7461" s="20"/>
      <c r="H7461"/>
      <c r="I7461"/>
    </row>
    <row r="7462" spans="2:9" ht="15" x14ac:dyDescent="0.25">
      <c r="B7462"/>
      <c r="C7462"/>
      <c r="D7462"/>
      <c r="E7462"/>
      <c r="F7462"/>
      <c r="G7462" s="20"/>
      <c r="H7462"/>
      <c r="I7462"/>
    </row>
    <row r="7463" spans="2:9" ht="15" x14ac:dyDescent="0.25">
      <c r="B7463"/>
      <c r="C7463"/>
      <c r="D7463"/>
      <c r="E7463"/>
      <c r="F7463"/>
      <c r="G7463" s="20"/>
      <c r="H7463"/>
      <c r="I7463"/>
    </row>
    <row r="7464" spans="2:9" ht="15" x14ac:dyDescent="0.25">
      <c r="B7464"/>
      <c r="C7464"/>
      <c r="D7464"/>
      <c r="E7464"/>
      <c r="F7464"/>
      <c r="G7464" s="20"/>
      <c r="H7464"/>
      <c r="I7464"/>
    </row>
    <row r="7465" spans="2:9" ht="15" x14ac:dyDescent="0.25">
      <c r="B7465"/>
      <c r="C7465"/>
      <c r="D7465"/>
      <c r="E7465"/>
      <c r="F7465"/>
      <c r="G7465" s="20"/>
      <c r="H7465"/>
      <c r="I7465"/>
    </row>
    <row r="7466" spans="2:9" ht="15" x14ac:dyDescent="0.25">
      <c r="B7466"/>
      <c r="C7466"/>
      <c r="D7466"/>
      <c r="E7466"/>
      <c r="F7466"/>
      <c r="G7466" s="20"/>
      <c r="H7466"/>
      <c r="I7466"/>
    </row>
    <row r="7467" spans="2:9" ht="15" x14ac:dyDescent="0.25">
      <c r="B7467"/>
      <c r="C7467"/>
      <c r="D7467"/>
      <c r="E7467"/>
      <c r="F7467"/>
      <c r="G7467" s="20"/>
      <c r="H7467"/>
      <c r="I7467"/>
    </row>
    <row r="7468" spans="2:9" ht="15" x14ac:dyDescent="0.25">
      <c r="B7468"/>
      <c r="C7468"/>
      <c r="D7468"/>
      <c r="E7468"/>
      <c r="F7468"/>
      <c r="G7468" s="20"/>
      <c r="H7468"/>
      <c r="I7468"/>
    </row>
    <row r="7469" spans="2:9" ht="15" x14ac:dyDescent="0.25">
      <c r="B7469"/>
      <c r="C7469"/>
      <c r="D7469"/>
      <c r="E7469"/>
      <c r="F7469"/>
      <c r="G7469" s="20"/>
      <c r="H7469"/>
      <c r="I7469"/>
    </row>
    <row r="7470" spans="2:9" ht="15" x14ac:dyDescent="0.25">
      <c r="B7470"/>
      <c r="C7470"/>
      <c r="D7470"/>
      <c r="E7470"/>
      <c r="F7470"/>
      <c r="G7470" s="20"/>
      <c r="H7470"/>
      <c r="I7470"/>
    </row>
    <row r="7471" spans="2:9" ht="15" x14ac:dyDescent="0.25">
      <c r="B7471"/>
      <c r="C7471"/>
      <c r="D7471"/>
      <c r="E7471"/>
      <c r="F7471"/>
      <c r="G7471" s="20"/>
      <c r="H7471"/>
      <c r="I7471"/>
    </row>
    <row r="7472" spans="2:9" ht="15" x14ac:dyDescent="0.25">
      <c r="B7472"/>
      <c r="C7472"/>
      <c r="D7472"/>
      <c r="E7472"/>
      <c r="F7472"/>
      <c r="G7472" s="20"/>
      <c r="H7472"/>
      <c r="I7472"/>
    </row>
    <row r="7473" spans="2:9" ht="15" x14ac:dyDescent="0.25">
      <c r="B7473"/>
      <c r="C7473"/>
      <c r="D7473"/>
      <c r="E7473"/>
      <c r="F7473"/>
      <c r="G7473" s="20"/>
      <c r="H7473"/>
      <c r="I7473"/>
    </row>
    <row r="7474" spans="2:9" ht="15" x14ac:dyDescent="0.25">
      <c r="B7474"/>
      <c r="C7474"/>
      <c r="D7474"/>
      <c r="E7474"/>
      <c r="F7474"/>
      <c r="G7474" s="20"/>
      <c r="H7474"/>
      <c r="I7474"/>
    </row>
    <row r="7475" spans="2:9" ht="15" x14ac:dyDescent="0.25">
      <c r="B7475"/>
      <c r="C7475"/>
      <c r="D7475"/>
      <c r="E7475"/>
      <c r="F7475"/>
      <c r="G7475" s="20"/>
      <c r="H7475"/>
      <c r="I7475"/>
    </row>
    <row r="7476" spans="2:9" ht="15" x14ac:dyDescent="0.25">
      <c r="B7476"/>
      <c r="C7476"/>
      <c r="D7476"/>
      <c r="E7476"/>
      <c r="F7476"/>
      <c r="G7476" s="20"/>
      <c r="H7476"/>
      <c r="I7476"/>
    </row>
    <row r="7477" spans="2:9" ht="15" x14ac:dyDescent="0.25">
      <c r="B7477"/>
      <c r="C7477"/>
      <c r="D7477"/>
      <c r="E7477"/>
      <c r="F7477"/>
      <c r="G7477" s="20"/>
      <c r="H7477"/>
      <c r="I7477"/>
    </row>
    <row r="7478" spans="2:9" ht="15" x14ac:dyDescent="0.25">
      <c r="B7478"/>
      <c r="C7478"/>
      <c r="D7478"/>
      <c r="E7478"/>
      <c r="F7478"/>
      <c r="G7478" s="20"/>
      <c r="H7478"/>
      <c r="I7478"/>
    </row>
    <row r="7479" spans="2:9" ht="15" x14ac:dyDescent="0.25">
      <c r="B7479"/>
      <c r="C7479"/>
      <c r="D7479"/>
      <c r="E7479"/>
      <c r="F7479"/>
      <c r="G7479" s="20"/>
      <c r="H7479"/>
      <c r="I7479"/>
    </row>
    <row r="7480" spans="2:9" ht="15" x14ac:dyDescent="0.25">
      <c r="B7480"/>
      <c r="C7480"/>
      <c r="D7480"/>
      <c r="E7480"/>
      <c r="F7480"/>
      <c r="G7480" s="20"/>
      <c r="H7480"/>
      <c r="I7480"/>
    </row>
    <row r="7481" spans="2:9" ht="15" x14ac:dyDescent="0.25">
      <c r="B7481"/>
      <c r="C7481"/>
      <c r="D7481"/>
      <c r="E7481"/>
      <c r="F7481"/>
      <c r="G7481" s="20"/>
      <c r="H7481"/>
      <c r="I7481"/>
    </row>
    <row r="7482" spans="2:9" ht="15" x14ac:dyDescent="0.25">
      <c r="B7482"/>
      <c r="C7482"/>
      <c r="D7482"/>
      <c r="E7482"/>
      <c r="F7482"/>
      <c r="G7482" s="20"/>
      <c r="H7482"/>
      <c r="I7482"/>
    </row>
    <row r="7483" spans="2:9" ht="15" x14ac:dyDescent="0.25">
      <c r="B7483"/>
      <c r="C7483"/>
      <c r="D7483"/>
      <c r="E7483"/>
      <c r="F7483"/>
      <c r="G7483" s="20"/>
      <c r="H7483"/>
      <c r="I7483"/>
    </row>
    <row r="7484" spans="2:9" ht="15" x14ac:dyDescent="0.25">
      <c r="B7484"/>
      <c r="C7484"/>
      <c r="D7484"/>
      <c r="E7484"/>
      <c r="F7484"/>
      <c r="G7484" s="20"/>
      <c r="H7484"/>
      <c r="I7484"/>
    </row>
    <row r="7485" spans="2:9" ht="15" x14ac:dyDescent="0.25">
      <c r="B7485"/>
      <c r="C7485"/>
      <c r="D7485"/>
      <c r="E7485"/>
      <c r="F7485"/>
      <c r="G7485" s="20"/>
      <c r="H7485"/>
      <c r="I7485"/>
    </row>
    <row r="7486" spans="2:9" ht="15" x14ac:dyDescent="0.25">
      <c r="B7486"/>
      <c r="C7486"/>
      <c r="D7486"/>
      <c r="E7486"/>
      <c r="F7486"/>
      <c r="G7486" s="20"/>
      <c r="H7486"/>
      <c r="I7486"/>
    </row>
    <row r="7487" spans="2:9" ht="15" x14ac:dyDescent="0.25">
      <c r="B7487"/>
      <c r="C7487"/>
      <c r="D7487"/>
      <c r="E7487"/>
      <c r="F7487"/>
      <c r="G7487" s="20"/>
      <c r="H7487"/>
      <c r="I7487"/>
    </row>
    <row r="7488" spans="2:9" ht="15" x14ac:dyDescent="0.25">
      <c r="B7488"/>
      <c r="C7488"/>
      <c r="D7488"/>
      <c r="E7488"/>
      <c r="F7488"/>
      <c r="G7488" s="20"/>
      <c r="H7488"/>
      <c r="I7488"/>
    </row>
    <row r="7489" spans="2:9" ht="15" x14ac:dyDescent="0.25">
      <c r="B7489"/>
      <c r="C7489"/>
      <c r="D7489"/>
      <c r="E7489"/>
      <c r="F7489"/>
      <c r="G7489" s="20"/>
      <c r="H7489"/>
      <c r="I7489"/>
    </row>
    <row r="7490" spans="2:9" ht="15" x14ac:dyDescent="0.25">
      <c r="B7490"/>
      <c r="C7490"/>
      <c r="D7490"/>
      <c r="E7490"/>
      <c r="F7490"/>
      <c r="G7490" s="20"/>
      <c r="H7490"/>
      <c r="I7490"/>
    </row>
    <row r="7491" spans="2:9" ht="15" x14ac:dyDescent="0.25">
      <c r="B7491"/>
      <c r="C7491"/>
      <c r="D7491"/>
      <c r="E7491"/>
      <c r="F7491"/>
      <c r="G7491" s="20"/>
      <c r="H7491"/>
      <c r="I7491"/>
    </row>
    <row r="7492" spans="2:9" ht="15" x14ac:dyDescent="0.25">
      <c r="B7492"/>
      <c r="C7492"/>
      <c r="D7492"/>
      <c r="E7492"/>
      <c r="F7492"/>
      <c r="G7492" s="20"/>
      <c r="H7492"/>
      <c r="I7492"/>
    </row>
    <row r="7493" spans="2:9" ht="15" x14ac:dyDescent="0.25">
      <c r="B7493"/>
      <c r="C7493"/>
      <c r="D7493"/>
      <c r="E7493"/>
      <c r="F7493"/>
      <c r="G7493" s="20"/>
      <c r="H7493"/>
      <c r="I7493"/>
    </row>
    <row r="7494" spans="2:9" ht="15" x14ac:dyDescent="0.25">
      <c r="B7494"/>
      <c r="C7494"/>
      <c r="D7494"/>
      <c r="E7494"/>
      <c r="F7494"/>
      <c r="G7494" s="20"/>
      <c r="H7494"/>
      <c r="I7494"/>
    </row>
    <row r="7495" spans="2:9" ht="15" x14ac:dyDescent="0.25">
      <c r="B7495"/>
      <c r="C7495"/>
      <c r="D7495"/>
      <c r="E7495"/>
      <c r="F7495"/>
      <c r="G7495" s="20"/>
      <c r="H7495"/>
      <c r="I7495"/>
    </row>
    <row r="7496" spans="2:9" ht="15" x14ac:dyDescent="0.25">
      <c r="B7496"/>
      <c r="C7496"/>
      <c r="D7496"/>
      <c r="E7496"/>
      <c r="F7496"/>
      <c r="G7496" s="20"/>
      <c r="H7496"/>
      <c r="I7496"/>
    </row>
    <row r="7497" spans="2:9" ht="15" x14ac:dyDescent="0.25">
      <c r="B7497"/>
      <c r="C7497"/>
      <c r="D7497"/>
      <c r="E7497"/>
      <c r="F7497"/>
      <c r="G7497" s="20"/>
      <c r="H7497"/>
      <c r="I7497"/>
    </row>
    <row r="7498" spans="2:9" ht="15" x14ac:dyDescent="0.25">
      <c r="B7498"/>
      <c r="C7498"/>
      <c r="D7498"/>
      <c r="E7498"/>
      <c r="F7498"/>
      <c r="G7498" s="20"/>
      <c r="H7498"/>
      <c r="I7498"/>
    </row>
    <row r="7499" spans="2:9" ht="15" x14ac:dyDescent="0.25">
      <c r="B7499"/>
      <c r="C7499"/>
      <c r="D7499"/>
      <c r="E7499"/>
      <c r="F7499"/>
      <c r="G7499" s="20"/>
      <c r="H7499"/>
      <c r="I7499"/>
    </row>
    <row r="7500" spans="2:9" ht="15" x14ac:dyDescent="0.25">
      <c r="B7500"/>
      <c r="C7500"/>
      <c r="D7500"/>
      <c r="E7500"/>
      <c r="F7500"/>
      <c r="G7500" s="20"/>
      <c r="H7500"/>
      <c r="I7500"/>
    </row>
    <row r="7501" spans="2:9" ht="15" x14ac:dyDescent="0.25">
      <c r="B7501"/>
      <c r="C7501"/>
      <c r="D7501"/>
      <c r="E7501"/>
      <c r="F7501"/>
      <c r="G7501" s="20"/>
      <c r="H7501"/>
      <c r="I7501"/>
    </row>
    <row r="7502" spans="2:9" ht="15" x14ac:dyDescent="0.25">
      <c r="B7502"/>
      <c r="C7502"/>
      <c r="D7502"/>
      <c r="E7502"/>
      <c r="F7502"/>
      <c r="G7502" s="20"/>
      <c r="H7502"/>
      <c r="I7502"/>
    </row>
    <row r="7503" spans="2:9" ht="15" x14ac:dyDescent="0.25">
      <c r="B7503"/>
      <c r="C7503"/>
      <c r="D7503"/>
      <c r="E7503"/>
      <c r="F7503"/>
      <c r="G7503" s="20"/>
      <c r="H7503"/>
      <c r="I7503"/>
    </row>
    <row r="7504" spans="2:9" ht="15" x14ac:dyDescent="0.25">
      <c r="B7504"/>
      <c r="C7504"/>
      <c r="D7504"/>
      <c r="E7504"/>
      <c r="F7504"/>
      <c r="G7504" s="20"/>
      <c r="H7504"/>
      <c r="I7504"/>
    </row>
    <row r="7505" spans="2:9" ht="15" x14ac:dyDescent="0.25">
      <c r="B7505"/>
      <c r="C7505"/>
      <c r="D7505"/>
      <c r="E7505"/>
      <c r="F7505"/>
      <c r="G7505" s="20"/>
      <c r="H7505"/>
      <c r="I7505"/>
    </row>
    <row r="7506" spans="2:9" ht="15" x14ac:dyDescent="0.25">
      <c r="B7506"/>
      <c r="C7506"/>
      <c r="D7506"/>
      <c r="E7506"/>
      <c r="F7506"/>
      <c r="G7506" s="20"/>
      <c r="H7506"/>
      <c r="I7506"/>
    </row>
    <row r="7507" spans="2:9" ht="15" x14ac:dyDescent="0.25">
      <c r="B7507"/>
      <c r="C7507"/>
      <c r="D7507"/>
      <c r="E7507"/>
      <c r="F7507"/>
      <c r="G7507" s="20"/>
      <c r="H7507"/>
      <c r="I7507"/>
    </row>
    <row r="7508" spans="2:9" ht="15" x14ac:dyDescent="0.25">
      <c r="B7508"/>
      <c r="C7508"/>
      <c r="D7508"/>
      <c r="E7508"/>
      <c r="F7508"/>
      <c r="G7508" s="20"/>
      <c r="H7508"/>
      <c r="I7508"/>
    </row>
    <row r="7509" spans="2:9" ht="15" x14ac:dyDescent="0.25">
      <c r="B7509"/>
      <c r="C7509"/>
      <c r="D7509"/>
      <c r="E7509"/>
      <c r="F7509"/>
      <c r="G7509" s="20"/>
      <c r="H7509"/>
      <c r="I7509"/>
    </row>
    <row r="7510" spans="2:9" ht="15" x14ac:dyDescent="0.25">
      <c r="B7510"/>
      <c r="C7510"/>
      <c r="D7510"/>
      <c r="E7510"/>
      <c r="F7510"/>
      <c r="G7510" s="20"/>
      <c r="H7510"/>
      <c r="I7510"/>
    </row>
    <row r="7511" spans="2:9" ht="15" x14ac:dyDescent="0.25">
      <c r="B7511"/>
      <c r="C7511"/>
      <c r="D7511"/>
      <c r="E7511"/>
      <c r="F7511"/>
      <c r="G7511" s="20"/>
      <c r="H7511"/>
      <c r="I7511"/>
    </row>
    <row r="7512" spans="2:9" ht="15" x14ac:dyDescent="0.25">
      <c r="B7512"/>
      <c r="C7512"/>
      <c r="D7512"/>
      <c r="E7512"/>
      <c r="F7512"/>
      <c r="G7512" s="20"/>
      <c r="H7512"/>
      <c r="I7512"/>
    </row>
    <row r="7513" spans="2:9" ht="15" x14ac:dyDescent="0.25">
      <c r="B7513"/>
      <c r="C7513"/>
      <c r="D7513"/>
      <c r="E7513"/>
      <c r="F7513"/>
      <c r="G7513" s="20"/>
      <c r="H7513"/>
      <c r="I7513"/>
    </row>
    <row r="7514" spans="2:9" ht="15" x14ac:dyDescent="0.25">
      <c r="B7514"/>
      <c r="C7514"/>
      <c r="D7514"/>
      <c r="E7514"/>
      <c r="F7514"/>
      <c r="G7514" s="20"/>
      <c r="H7514"/>
      <c r="I7514"/>
    </row>
    <row r="7515" spans="2:9" ht="15" x14ac:dyDescent="0.25">
      <c r="B7515"/>
      <c r="C7515"/>
      <c r="D7515"/>
      <c r="E7515"/>
      <c r="F7515"/>
      <c r="G7515" s="20"/>
      <c r="H7515"/>
      <c r="I7515"/>
    </row>
    <row r="7516" spans="2:9" ht="15" x14ac:dyDescent="0.25">
      <c r="B7516"/>
      <c r="C7516"/>
      <c r="D7516"/>
      <c r="E7516"/>
      <c r="F7516"/>
      <c r="G7516" s="20"/>
      <c r="H7516"/>
      <c r="I7516"/>
    </row>
    <row r="7517" spans="2:9" ht="15" x14ac:dyDescent="0.25">
      <c r="B7517"/>
      <c r="C7517"/>
      <c r="D7517"/>
      <c r="E7517"/>
      <c r="F7517"/>
      <c r="G7517" s="20"/>
      <c r="H7517"/>
      <c r="I7517"/>
    </row>
    <row r="7518" spans="2:9" ht="15" x14ac:dyDescent="0.25">
      <c r="B7518"/>
      <c r="C7518"/>
      <c r="D7518"/>
      <c r="E7518"/>
      <c r="F7518"/>
      <c r="G7518" s="20"/>
      <c r="H7518"/>
      <c r="I7518"/>
    </row>
    <row r="7519" spans="2:9" ht="15" x14ac:dyDescent="0.25">
      <c r="B7519"/>
      <c r="C7519"/>
      <c r="D7519"/>
      <c r="E7519"/>
      <c r="F7519"/>
      <c r="G7519" s="20"/>
      <c r="H7519"/>
      <c r="I7519"/>
    </row>
    <row r="7520" spans="2:9" ht="15" x14ac:dyDescent="0.25">
      <c r="B7520"/>
      <c r="C7520"/>
      <c r="D7520"/>
      <c r="E7520"/>
      <c r="F7520"/>
      <c r="G7520" s="20"/>
      <c r="H7520"/>
      <c r="I7520"/>
    </row>
    <row r="7521" spans="2:9" ht="15" x14ac:dyDescent="0.25">
      <c r="B7521"/>
      <c r="C7521"/>
      <c r="D7521"/>
      <c r="E7521"/>
      <c r="F7521"/>
      <c r="G7521" s="20"/>
      <c r="H7521"/>
      <c r="I7521"/>
    </row>
    <row r="7522" spans="2:9" ht="15" x14ac:dyDescent="0.25">
      <c r="B7522"/>
      <c r="C7522"/>
      <c r="D7522"/>
      <c r="E7522"/>
      <c r="F7522"/>
      <c r="G7522" s="20"/>
      <c r="H7522"/>
      <c r="I7522"/>
    </row>
    <row r="7523" spans="2:9" ht="15" x14ac:dyDescent="0.25">
      <c r="B7523"/>
      <c r="C7523"/>
      <c r="D7523"/>
      <c r="E7523"/>
      <c r="F7523"/>
      <c r="G7523" s="20"/>
      <c r="H7523"/>
      <c r="I7523"/>
    </row>
    <row r="7524" spans="2:9" ht="15" x14ac:dyDescent="0.25">
      <c r="B7524"/>
      <c r="C7524"/>
      <c r="D7524"/>
      <c r="E7524"/>
      <c r="F7524"/>
      <c r="G7524" s="20"/>
      <c r="H7524"/>
      <c r="I7524"/>
    </row>
    <row r="7525" spans="2:9" ht="15" x14ac:dyDescent="0.25">
      <c r="B7525"/>
      <c r="C7525"/>
      <c r="D7525"/>
      <c r="E7525"/>
      <c r="F7525"/>
      <c r="G7525" s="20"/>
      <c r="H7525"/>
      <c r="I7525"/>
    </row>
    <row r="7526" spans="2:9" ht="15" x14ac:dyDescent="0.25">
      <c r="B7526"/>
      <c r="C7526"/>
      <c r="D7526"/>
      <c r="E7526"/>
      <c r="F7526"/>
      <c r="G7526" s="20"/>
      <c r="H7526"/>
      <c r="I7526"/>
    </row>
    <row r="7527" spans="2:9" ht="15" x14ac:dyDescent="0.25">
      <c r="B7527"/>
      <c r="C7527"/>
      <c r="D7527"/>
      <c r="E7527"/>
      <c r="F7527"/>
      <c r="G7527" s="20"/>
      <c r="H7527"/>
      <c r="I7527"/>
    </row>
    <row r="7528" spans="2:9" ht="15" x14ac:dyDescent="0.25">
      <c r="B7528"/>
      <c r="C7528"/>
      <c r="D7528"/>
      <c r="E7528"/>
      <c r="F7528"/>
      <c r="G7528" s="20"/>
      <c r="H7528"/>
      <c r="I7528"/>
    </row>
    <row r="7529" spans="2:9" ht="15" x14ac:dyDescent="0.25">
      <c r="B7529"/>
      <c r="C7529"/>
      <c r="D7529"/>
      <c r="E7529"/>
      <c r="F7529"/>
      <c r="G7529" s="20"/>
      <c r="H7529"/>
      <c r="I7529"/>
    </row>
    <row r="7530" spans="2:9" ht="15" x14ac:dyDescent="0.25">
      <c r="B7530"/>
      <c r="C7530"/>
      <c r="D7530"/>
      <c r="E7530"/>
      <c r="F7530"/>
      <c r="G7530" s="20"/>
      <c r="H7530"/>
      <c r="I7530"/>
    </row>
    <row r="7531" spans="2:9" ht="15" x14ac:dyDescent="0.25">
      <c r="B7531"/>
      <c r="C7531"/>
      <c r="D7531"/>
      <c r="E7531"/>
      <c r="F7531"/>
      <c r="G7531" s="20"/>
      <c r="H7531"/>
      <c r="I7531"/>
    </row>
    <row r="7532" spans="2:9" ht="15" x14ac:dyDescent="0.25">
      <c r="B7532"/>
      <c r="C7532"/>
      <c r="D7532"/>
      <c r="E7532"/>
      <c r="F7532"/>
      <c r="G7532" s="20"/>
      <c r="H7532"/>
      <c r="I7532"/>
    </row>
    <row r="7533" spans="2:9" ht="15" x14ac:dyDescent="0.25">
      <c r="B7533"/>
      <c r="C7533"/>
      <c r="D7533"/>
      <c r="E7533"/>
      <c r="F7533"/>
      <c r="G7533" s="20"/>
      <c r="H7533"/>
      <c r="I7533"/>
    </row>
    <row r="7534" spans="2:9" ht="15" x14ac:dyDescent="0.25">
      <c r="B7534"/>
      <c r="C7534"/>
      <c r="D7534"/>
      <c r="E7534"/>
      <c r="F7534"/>
      <c r="G7534" s="20"/>
      <c r="H7534"/>
      <c r="I7534"/>
    </row>
    <row r="7535" spans="2:9" ht="15" x14ac:dyDescent="0.25">
      <c r="B7535"/>
      <c r="C7535"/>
      <c r="D7535"/>
      <c r="E7535"/>
      <c r="F7535"/>
      <c r="G7535" s="20"/>
      <c r="H7535"/>
      <c r="I7535"/>
    </row>
    <row r="7536" spans="2:9" ht="15" x14ac:dyDescent="0.25">
      <c r="B7536"/>
      <c r="C7536"/>
      <c r="D7536"/>
      <c r="E7536"/>
      <c r="F7536"/>
      <c r="G7536" s="20"/>
      <c r="H7536"/>
      <c r="I7536"/>
    </row>
    <row r="7537" spans="2:9" ht="15" x14ac:dyDescent="0.25">
      <c r="B7537"/>
      <c r="C7537"/>
      <c r="D7537"/>
      <c r="E7537"/>
      <c r="F7537"/>
      <c r="G7537" s="20"/>
      <c r="H7537"/>
      <c r="I7537"/>
    </row>
    <row r="7538" spans="2:9" ht="15" x14ac:dyDescent="0.25">
      <c r="B7538"/>
      <c r="C7538"/>
      <c r="D7538"/>
      <c r="E7538"/>
      <c r="F7538"/>
      <c r="G7538" s="20"/>
      <c r="H7538"/>
      <c r="I7538"/>
    </row>
    <row r="7539" spans="2:9" ht="15" x14ac:dyDescent="0.25">
      <c r="B7539"/>
      <c r="C7539"/>
      <c r="D7539"/>
      <c r="E7539"/>
      <c r="F7539"/>
      <c r="G7539" s="20"/>
      <c r="H7539"/>
      <c r="I7539"/>
    </row>
    <row r="7540" spans="2:9" ht="15" x14ac:dyDescent="0.25">
      <c r="B7540"/>
      <c r="C7540"/>
      <c r="D7540"/>
      <c r="E7540"/>
      <c r="F7540"/>
      <c r="G7540" s="20"/>
      <c r="H7540"/>
      <c r="I7540"/>
    </row>
    <row r="7541" spans="2:9" ht="15" x14ac:dyDescent="0.25">
      <c r="B7541"/>
      <c r="C7541"/>
      <c r="D7541"/>
      <c r="E7541"/>
      <c r="F7541"/>
      <c r="G7541" s="20"/>
      <c r="H7541"/>
      <c r="I7541"/>
    </row>
    <row r="7542" spans="2:9" ht="15" x14ac:dyDescent="0.25">
      <c r="B7542"/>
      <c r="C7542"/>
      <c r="D7542"/>
      <c r="E7542"/>
      <c r="F7542"/>
      <c r="G7542" s="20"/>
      <c r="H7542"/>
      <c r="I7542"/>
    </row>
    <row r="7543" spans="2:9" ht="15" x14ac:dyDescent="0.25">
      <c r="B7543"/>
      <c r="C7543"/>
      <c r="D7543"/>
      <c r="E7543"/>
      <c r="F7543"/>
      <c r="G7543" s="20"/>
      <c r="H7543"/>
      <c r="I7543"/>
    </row>
    <row r="7544" spans="2:9" ht="15" x14ac:dyDescent="0.25">
      <c r="B7544"/>
      <c r="C7544"/>
      <c r="D7544"/>
      <c r="E7544"/>
      <c r="F7544"/>
      <c r="G7544" s="20"/>
      <c r="H7544"/>
      <c r="I7544"/>
    </row>
    <row r="7545" spans="2:9" ht="15" x14ac:dyDescent="0.25">
      <c r="B7545"/>
      <c r="C7545"/>
      <c r="D7545"/>
      <c r="E7545"/>
      <c r="F7545"/>
      <c r="G7545" s="20"/>
      <c r="H7545"/>
      <c r="I7545"/>
    </row>
    <row r="7546" spans="2:9" ht="15" x14ac:dyDescent="0.25">
      <c r="B7546"/>
      <c r="C7546"/>
      <c r="D7546"/>
      <c r="E7546"/>
      <c r="F7546"/>
      <c r="G7546" s="20"/>
      <c r="H7546"/>
      <c r="I7546"/>
    </row>
    <row r="7547" spans="2:9" ht="15" x14ac:dyDescent="0.25">
      <c r="B7547"/>
      <c r="C7547"/>
      <c r="D7547"/>
      <c r="E7547"/>
      <c r="F7547"/>
      <c r="G7547" s="20"/>
      <c r="H7547"/>
      <c r="I7547"/>
    </row>
    <row r="7548" spans="2:9" ht="15" x14ac:dyDescent="0.25">
      <c r="B7548"/>
      <c r="C7548"/>
      <c r="D7548"/>
      <c r="E7548"/>
      <c r="F7548"/>
      <c r="G7548" s="20"/>
      <c r="H7548"/>
      <c r="I7548"/>
    </row>
    <row r="7549" spans="2:9" ht="15" x14ac:dyDescent="0.25">
      <c r="B7549"/>
      <c r="C7549"/>
      <c r="D7549"/>
      <c r="E7549"/>
      <c r="F7549"/>
      <c r="G7549" s="20"/>
      <c r="H7549"/>
      <c r="I7549"/>
    </row>
    <row r="7550" spans="2:9" ht="15" x14ac:dyDescent="0.25">
      <c r="B7550"/>
      <c r="C7550"/>
      <c r="D7550"/>
      <c r="E7550"/>
      <c r="F7550"/>
      <c r="G7550" s="20"/>
      <c r="H7550"/>
      <c r="I7550"/>
    </row>
    <row r="7551" spans="2:9" ht="15" x14ac:dyDescent="0.25">
      <c r="B7551"/>
      <c r="C7551"/>
      <c r="D7551"/>
      <c r="E7551"/>
      <c r="F7551"/>
      <c r="G7551" s="20"/>
      <c r="H7551"/>
      <c r="I7551"/>
    </row>
    <row r="7552" spans="2:9" ht="15" x14ac:dyDescent="0.25">
      <c r="B7552"/>
      <c r="C7552"/>
      <c r="D7552"/>
      <c r="E7552"/>
      <c r="F7552"/>
      <c r="G7552" s="20"/>
      <c r="H7552"/>
      <c r="I7552"/>
    </row>
    <row r="7553" spans="2:9" ht="15" x14ac:dyDescent="0.25">
      <c r="B7553"/>
      <c r="C7553"/>
      <c r="D7553"/>
      <c r="E7553"/>
      <c r="F7553"/>
      <c r="G7553" s="20"/>
      <c r="H7553"/>
      <c r="I7553"/>
    </row>
    <row r="7554" spans="2:9" ht="15" x14ac:dyDescent="0.25">
      <c r="B7554"/>
      <c r="C7554"/>
      <c r="D7554"/>
      <c r="E7554"/>
      <c r="F7554"/>
      <c r="G7554" s="20"/>
      <c r="H7554"/>
      <c r="I7554"/>
    </row>
    <row r="7555" spans="2:9" ht="15" x14ac:dyDescent="0.25">
      <c r="B7555"/>
      <c r="C7555"/>
      <c r="D7555"/>
      <c r="E7555"/>
      <c r="F7555"/>
      <c r="G7555" s="20"/>
      <c r="H7555"/>
      <c r="I7555"/>
    </row>
    <row r="7556" spans="2:9" ht="15" x14ac:dyDescent="0.25">
      <c r="B7556"/>
      <c r="C7556"/>
      <c r="D7556"/>
      <c r="E7556"/>
      <c r="F7556"/>
      <c r="G7556" s="20"/>
      <c r="H7556"/>
      <c r="I7556"/>
    </row>
    <row r="7557" spans="2:9" ht="15" x14ac:dyDescent="0.25">
      <c r="B7557"/>
      <c r="C7557"/>
      <c r="D7557"/>
      <c r="E7557"/>
      <c r="F7557"/>
      <c r="G7557" s="20"/>
      <c r="H7557"/>
      <c r="I7557"/>
    </row>
    <row r="7558" spans="2:9" ht="15" x14ac:dyDescent="0.25">
      <c r="B7558"/>
      <c r="C7558"/>
      <c r="D7558"/>
      <c r="E7558"/>
      <c r="F7558"/>
      <c r="G7558" s="20"/>
      <c r="H7558"/>
      <c r="I7558"/>
    </row>
    <row r="7559" spans="2:9" ht="15" x14ac:dyDescent="0.25">
      <c r="B7559"/>
      <c r="C7559"/>
      <c r="D7559"/>
      <c r="E7559"/>
      <c r="F7559"/>
      <c r="G7559" s="20"/>
      <c r="H7559"/>
      <c r="I7559"/>
    </row>
    <row r="7560" spans="2:9" ht="15" x14ac:dyDescent="0.25">
      <c r="B7560"/>
      <c r="C7560"/>
      <c r="D7560"/>
      <c r="E7560"/>
      <c r="F7560"/>
      <c r="G7560" s="20"/>
      <c r="H7560"/>
      <c r="I7560"/>
    </row>
    <row r="7561" spans="2:9" ht="15" x14ac:dyDescent="0.25">
      <c r="B7561"/>
      <c r="C7561"/>
      <c r="D7561"/>
      <c r="E7561"/>
      <c r="F7561"/>
      <c r="G7561" s="20"/>
      <c r="H7561"/>
      <c r="I7561"/>
    </row>
    <row r="7562" spans="2:9" ht="15" x14ac:dyDescent="0.25">
      <c r="B7562"/>
      <c r="C7562"/>
      <c r="D7562"/>
      <c r="E7562"/>
      <c r="F7562"/>
      <c r="G7562" s="20"/>
      <c r="H7562"/>
      <c r="I7562"/>
    </row>
    <row r="7563" spans="2:9" ht="15" x14ac:dyDescent="0.25">
      <c r="B7563"/>
      <c r="C7563"/>
      <c r="D7563"/>
      <c r="E7563"/>
      <c r="F7563"/>
      <c r="G7563" s="20"/>
      <c r="H7563"/>
      <c r="I7563"/>
    </row>
    <row r="7564" spans="2:9" ht="15" x14ac:dyDescent="0.25">
      <c r="B7564"/>
      <c r="C7564"/>
      <c r="D7564"/>
      <c r="E7564"/>
      <c r="F7564"/>
      <c r="G7564" s="20"/>
      <c r="H7564"/>
      <c r="I7564"/>
    </row>
    <row r="7565" spans="2:9" ht="15" x14ac:dyDescent="0.25">
      <c r="B7565"/>
      <c r="C7565"/>
      <c r="D7565"/>
      <c r="E7565"/>
      <c r="F7565"/>
      <c r="G7565" s="20"/>
      <c r="H7565"/>
      <c r="I7565"/>
    </row>
    <row r="7566" spans="2:9" ht="15" x14ac:dyDescent="0.25">
      <c r="B7566"/>
      <c r="C7566"/>
      <c r="D7566"/>
      <c r="E7566"/>
      <c r="F7566"/>
      <c r="G7566" s="20"/>
      <c r="H7566"/>
      <c r="I7566"/>
    </row>
    <row r="7567" spans="2:9" ht="15" x14ac:dyDescent="0.25">
      <c r="B7567"/>
      <c r="C7567"/>
      <c r="D7567"/>
      <c r="E7567"/>
      <c r="F7567"/>
      <c r="G7567" s="20"/>
      <c r="H7567"/>
      <c r="I7567"/>
    </row>
    <row r="7568" spans="2:9" ht="15" x14ac:dyDescent="0.25">
      <c r="B7568"/>
      <c r="C7568"/>
      <c r="D7568"/>
      <c r="E7568"/>
      <c r="F7568"/>
      <c r="G7568" s="20"/>
      <c r="H7568"/>
      <c r="I7568"/>
    </row>
    <row r="7569" spans="2:9" ht="15" x14ac:dyDescent="0.25">
      <c r="B7569"/>
      <c r="C7569"/>
      <c r="D7569"/>
      <c r="E7569"/>
      <c r="F7569"/>
      <c r="G7569" s="20"/>
      <c r="H7569"/>
      <c r="I7569"/>
    </row>
    <row r="7570" spans="2:9" ht="15" x14ac:dyDescent="0.25">
      <c r="B7570"/>
      <c r="C7570"/>
      <c r="D7570"/>
      <c r="E7570"/>
      <c r="F7570"/>
      <c r="G7570" s="20"/>
      <c r="H7570"/>
      <c r="I7570"/>
    </row>
    <row r="7571" spans="2:9" ht="15" x14ac:dyDescent="0.25">
      <c r="B7571"/>
      <c r="C7571"/>
      <c r="D7571"/>
      <c r="E7571"/>
      <c r="F7571"/>
      <c r="G7571" s="20"/>
      <c r="H7571"/>
      <c r="I7571"/>
    </row>
    <row r="7572" spans="2:9" ht="15" x14ac:dyDescent="0.25">
      <c r="B7572"/>
      <c r="C7572"/>
      <c r="D7572"/>
      <c r="E7572"/>
      <c r="F7572"/>
      <c r="G7572" s="20"/>
      <c r="H7572"/>
      <c r="I7572"/>
    </row>
    <row r="7573" spans="2:9" ht="15" x14ac:dyDescent="0.25">
      <c r="B7573"/>
      <c r="C7573"/>
      <c r="D7573"/>
      <c r="E7573"/>
      <c r="F7573"/>
      <c r="G7573" s="20"/>
      <c r="H7573"/>
      <c r="I7573"/>
    </row>
    <row r="7574" spans="2:9" ht="15" x14ac:dyDescent="0.25">
      <c r="B7574"/>
      <c r="C7574"/>
      <c r="D7574"/>
      <c r="E7574"/>
      <c r="F7574"/>
      <c r="G7574" s="20"/>
      <c r="H7574"/>
      <c r="I7574"/>
    </row>
    <row r="7575" spans="2:9" ht="15" x14ac:dyDescent="0.25">
      <c r="B7575"/>
      <c r="C7575"/>
      <c r="D7575"/>
      <c r="E7575"/>
      <c r="F7575"/>
      <c r="G7575" s="20"/>
      <c r="H7575"/>
      <c r="I7575"/>
    </row>
    <row r="7576" spans="2:9" ht="15" x14ac:dyDescent="0.25">
      <c r="B7576"/>
      <c r="C7576"/>
      <c r="D7576"/>
      <c r="E7576"/>
      <c r="F7576"/>
      <c r="G7576" s="20"/>
      <c r="H7576"/>
      <c r="I7576"/>
    </row>
    <row r="7577" spans="2:9" ht="15" x14ac:dyDescent="0.25">
      <c r="B7577"/>
      <c r="C7577"/>
      <c r="D7577"/>
      <c r="E7577"/>
      <c r="F7577"/>
      <c r="G7577" s="20"/>
      <c r="H7577"/>
      <c r="I7577"/>
    </row>
    <row r="7578" spans="2:9" ht="15" x14ac:dyDescent="0.25">
      <c r="B7578"/>
      <c r="C7578"/>
      <c r="D7578"/>
      <c r="E7578"/>
      <c r="F7578"/>
      <c r="G7578" s="20"/>
      <c r="H7578"/>
      <c r="I7578"/>
    </row>
    <row r="7579" spans="2:9" ht="15" x14ac:dyDescent="0.25">
      <c r="B7579"/>
      <c r="C7579"/>
      <c r="D7579"/>
      <c r="E7579"/>
      <c r="F7579"/>
      <c r="G7579" s="20"/>
      <c r="H7579"/>
      <c r="I7579"/>
    </row>
    <row r="7580" spans="2:9" ht="15" x14ac:dyDescent="0.25">
      <c r="B7580"/>
      <c r="C7580"/>
      <c r="D7580"/>
      <c r="E7580"/>
      <c r="F7580"/>
      <c r="G7580" s="20"/>
      <c r="H7580"/>
      <c r="I7580"/>
    </row>
    <row r="7581" spans="2:9" ht="15" x14ac:dyDescent="0.25">
      <c r="B7581"/>
      <c r="C7581"/>
      <c r="D7581"/>
      <c r="E7581"/>
      <c r="F7581"/>
      <c r="G7581" s="20"/>
      <c r="H7581"/>
      <c r="I7581"/>
    </row>
    <row r="7582" spans="2:9" ht="15" x14ac:dyDescent="0.25">
      <c r="B7582"/>
      <c r="C7582"/>
      <c r="D7582"/>
      <c r="E7582"/>
      <c r="F7582"/>
      <c r="G7582" s="20"/>
      <c r="H7582"/>
      <c r="I7582"/>
    </row>
    <row r="7583" spans="2:9" ht="15" x14ac:dyDescent="0.25">
      <c r="B7583"/>
      <c r="C7583"/>
      <c r="D7583"/>
      <c r="E7583"/>
      <c r="F7583"/>
      <c r="G7583" s="20"/>
      <c r="H7583"/>
      <c r="I7583"/>
    </row>
    <row r="7584" spans="2:9" ht="15" x14ac:dyDescent="0.25">
      <c r="B7584"/>
      <c r="C7584"/>
      <c r="D7584"/>
      <c r="E7584"/>
      <c r="F7584"/>
      <c r="G7584" s="20"/>
      <c r="H7584"/>
      <c r="I7584"/>
    </row>
    <row r="7585" spans="2:9" ht="15" x14ac:dyDescent="0.25">
      <c r="B7585"/>
      <c r="C7585"/>
      <c r="D7585"/>
      <c r="E7585"/>
      <c r="F7585"/>
      <c r="G7585" s="20"/>
      <c r="H7585"/>
      <c r="I7585"/>
    </row>
    <row r="7586" spans="2:9" ht="15" x14ac:dyDescent="0.25">
      <c r="B7586"/>
      <c r="C7586"/>
      <c r="D7586"/>
      <c r="E7586"/>
      <c r="F7586"/>
      <c r="G7586" s="20"/>
      <c r="H7586"/>
      <c r="I7586"/>
    </row>
    <row r="7587" spans="2:9" ht="15" x14ac:dyDescent="0.25">
      <c r="B7587"/>
      <c r="C7587"/>
      <c r="D7587"/>
      <c r="E7587"/>
      <c r="F7587"/>
      <c r="G7587" s="20"/>
      <c r="H7587"/>
      <c r="I7587"/>
    </row>
    <row r="7588" spans="2:9" ht="15" x14ac:dyDescent="0.25">
      <c r="B7588"/>
      <c r="C7588"/>
      <c r="D7588"/>
      <c r="E7588"/>
      <c r="F7588"/>
      <c r="G7588" s="20"/>
      <c r="H7588"/>
      <c r="I7588"/>
    </row>
    <row r="7589" spans="2:9" ht="15" x14ac:dyDescent="0.25">
      <c r="B7589"/>
      <c r="C7589"/>
      <c r="D7589"/>
      <c r="E7589"/>
      <c r="F7589"/>
      <c r="G7589" s="20"/>
      <c r="H7589"/>
      <c r="I7589"/>
    </row>
    <row r="7590" spans="2:9" ht="15" x14ac:dyDescent="0.25">
      <c r="B7590"/>
      <c r="C7590"/>
      <c r="D7590"/>
      <c r="E7590"/>
      <c r="F7590"/>
      <c r="G7590" s="20"/>
      <c r="H7590"/>
      <c r="I7590"/>
    </row>
    <row r="7591" spans="2:9" ht="15" x14ac:dyDescent="0.25">
      <c r="B7591"/>
      <c r="C7591"/>
      <c r="D7591"/>
      <c r="E7591"/>
      <c r="F7591"/>
      <c r="G7591" s="20"/>
      <c r="H7591"/>
      <c r="I7591"/>
    </row>
    <row r="7592" spans="2:9" ht="15" x14ac:dyDescent="0.25">
      <c r="B7592"/>
      <c r="C7592"/>
      <c r="D7592"/>
      <c r="E7592"/>
      <c r="F7592"/>
      <c r="G7592" s="20"/>
      <c r="H7592"/>
      <c r="I7592"/>
    </row>
    <row r="7593" spans="2:9" ht="15" x14ac:dyDescent="0.25">
      <c r="B7593"/>
      <c r="C7593"/>
      <c r="D7593"/>
      <c r="E7593"/>
      <c r="F7593"/>
      <c r="G7593" s="20"/>
      <c r="H7593"/>
      <c r="I7593"/>
    </row>
    <row r="7594" spans="2:9" ht="15" x14ac:dyDescent="0.25">
      <c r="B7594"/>
      <c r="C7594"/>
      <c r="D7594"/>
      <c r="E7594"/>
      <c r="F7594"/>
      <c r="G7594" s="20"/>
      <c r="H7594"/>
      <c r="I7594"/>
    </row>
    <row r="7595" spans="2:9" ht="15" x14ac:dyDescent="0.25">
      <c r="B7595"/>
      <c r="C7595"/>
      <c r="D7595"/>
      <c r="E7595"/>
      <c r="F7595"/>
      <c r="G7595" s="20"/>
      <c r="H7595"/>
      <c r="I7595"/>
    </row>
    <row r="7596" spans="2:9" ht="15" x14ac:dyDescent="0.25">
      <c r="B7596"/>
      <c r="C7596"/>
      <c r="D7596"/>
      <c r="E7596"/>
      <c r="F7596"/>
      <c r="G7596" s="20"/>
      <c r="H7596"/>
      <c r="I7596"/>
    </row>
    <row r="7597" spans="2:9" ht="15" x14ac:dyDescent="0.25">
      <c r="B7597"/>
      <c r="C7597"/>
      <c r="D7597"/>
      <c r="E7597"/>
      <c r="F7597"/>
      <c r="G7597" s="20"/>
      <c r="H7597"/>
      <c r="I7597"/>
    </row>
    <row r="7598" spans="2:9" ht="15" x14ac:dyDescent="0.25">
      <c r="B7598"/>
      <c r="C7598"/>
      <c r="D7598"/>
      <c r="E7598"/>
      <c r="F7598"/>
      <c r="G7598" s="20"/>
      <c r="H7598"/>
      <c r="I7598"/>
    </row>
    <row r="7599" spans="2:9" ht="15" x14ac:dyDescent="0.25">
      <c r="B7599"/>
      <c r="C7599"/>
      <c r="D7599"/>
      <c r="E7599"/>
      <c r="F7599"/>
      <c r="G7599" s="20"/>
      <c r="H7599"/>
      <c r="I7599"/>
    </row>
    <row r="7600" spans="2:9" ht="15" x14ac:dyDescent="0.25">
      <c r="B7600"/>
      <c r="C7600"/>
      <c r="D7600"/>
      <c r="E7600"/>
      <c r="F7600"/>
      <c r="G7600" s="20"/>
      <c r="H7600"/>
      <c r="I7600"/>
    </row>
    <row r="7601" spans="2:9" ht="15" x14ac:dyDescent="0.25">
      <c r="B7601"/>
      <c r="C7601"/>
      <c r="D7601"/>
      <c r="E7601"/>
      <c r="F7601"/>
      <c r="G7601" s="20"/>
      <c r="H7601"/>
      <c r="I7601"/>
    </row>
    <row r="7602" spans="2:9" ht="15" x14ac:dyDescent="0.25">
      <c r="B7602"/>
      <c r="C7602"/>
      <c r="D7602"/>
      <c r="E7602"/>
      <c r="F7602"/>
      <c r="G7602" s="20"/>
      <c r="H7602"/>
      <c r="I7602"/>
    </row>
    <row r="7603" spans="2:9" ht="15" x14ac:dyDescent="0.25">
      <c r="B7603"/>
      <c r="C7603"/>
      <c r="D7603"/>
      <c r="E7603"/>
      <c r="F7603"/>
      <c r="G7603" s="20"/>
      <c r="H7603"/>
      <c r="I7603"/>
    </row>
    <row r="7604" spans="2:9" ht="15" x14ac:dyDescent="0.25">
      <c r="B7604"/>
      <c r="C7604"/>
      <c r="D7604"/>
      <c r="E7604"/>
      <c r="F7604"/>
      <c r="G7604" s="20"/>
      <c r="H7604"/>
      <c r="I7604"/>
    </row>
    <row r="7605" spans="2:9" ht="15" x14ac:dyDescent="0.25">
      <c r="B7605"/>
      <c r="C7605"/>
      <c r="D7605"/>
      <c r="E7605"/>
      <c r="F7605"/>
      <c r="G7605" s="20"/>
      <c r="H7605"/>
      <c r="I7605"/>
    </row>
    <row r="7606" spans="2:9" ht="15" x14ac:dyDescent="0.25">
      <c r="B7606"/>
      <c r="C7606"/>
      <c r="D7606"/>
      <c r="E7606"/>
      <c r="F7606"/>
      <c r="G7606" s="20"/>
      <c r="H7606"/>
      <c r="I7606"/>
    </row>
    <row r="7607" spans="2:9" ht="15" x14ac:dyDescent="0.25">
      <c r="B7607"/>
      <c r="C7607"/>
      <c r="D7607"/>
      <c r="E7607"/>
      <c r="F7607"/>
      <c r="G7607" s="20"/>
      <c r="H7607"/>
      <c r="I7607"/>
    </row>
    <row r="7608" spans="2:9" ht="15" x14ac:dyDescent="0.25">
      <c r="B7608"/>
      <c r="C7608"/>
      <c r="D7608"/>
      <c r="E7608"/>
      <c r="F7608"/>
      <c r="G7608" s="20"/>
      <c r="H7608"/>
      <c r="I7608"/>
    </row>
    <row r="7609" spans="2:9" ht="15" x14ac:dyDescent="0.25">
      <c r="B7609"/>
      <c r="C7609"/>
      <c r="D7609"/>
      <c r="E7609"/>
      <c r="F7609"/>
      <c r="G7609" s="20"/>
      <c r="H7609"/>
      <c r="I7609"/>
    </row>
    <row r="7610" spans="2:9" ht="15" x14ac:dyDescent="0.25">
      <c r="B7610"/>
      <c r="C7610"/>
      <c r="D7610"/>
      <c r="E7610"/>
      <c r="F7610"/>
      <c r="G7610" s="20"/>
      <c r="H7610"/>
      <c r="I7610"/>
    </row>
    <row r="7611" spans="2:9" ht="15" x14ac:dyDescent="0.25">
      <c r="B7611"/>
      <c r="C7611"/>
      <c r="D7611"/>
      <c r="E7611"/>
      <c r="F7611"/>
      <c r="G7611" s="20"/>
      <c r="H7611"/>
      <c r="I7611"/>
    </row>
    <row r="7612" spans="2:9" ht="15" x14ac:dyDescent="0.25">
      <c r="B7612"/>
      <c r="C7612"/>
      <c r="D7612"/>
      <c r="E7612"/>
      <c r="F7612"/>
      <c r="G7612" s="20"/>
      <c r="H7612"/>
      <c r="I7612"/>
    </row>
    <row r="7613" spans="2:9" ht="15" x14ac:dyDescent="0.25">
      <c r="B7613"/>
      <c r="C7613"/>
      <c r="D7613"/>
      <c r="E7613"/>
      <c r="F7613"/>
      <c r="G7613" s="20"/>
      <c r="H7613"/>
      <c r="I7613"/>
    </row>
    <row r="7614" spans="2:9" ht="15" x14ac:dyDescent="0.25">
      <c r="B7614"/>
      <c r="C7614"/>
      <c r="D7614"/>
      <c r="E7614"/>
      <c r="F7614"/>
      <c r="G7614" s="20"/>
      <c r="H7614"/>
      <c r="I7614"/>
    </row>
    <row r="7615" spans="2:9" ht="15" x14ac:dyDescent="0.25">
      <c r="B7615"/>
      <c r="C7615"/>
      <c r="D7615"/>
      <c r="E7615"/>
      <c r="F7615"/>
      <c r="G7615" s="20"/>
      <c r="H7615"/>
      <c r="I7615"/>
    </row>
    <row r="7616" spans="2:9" ht="15" x14ac:dyDescent="0.25">
      <c r="B7616"/>
      <c r="C7616"/>
      <c r="D7616"/>
      <c r="E7616"/>
      <c r="F7616"/>
      <c r="G7616" s="20"/>
      <c r="H7616"/>
      <c r="I7616"/>
    </row>
    <row r="7617" spans="2:9" ht="15" x14ac:dyDescent="0.25">
      <c r="B7617"/>
      <c r="C7617"/>
      <c r="D7617"/>
      <c r="E7617"/>
      <c r="F7617"/>
      <c r="G7617" s="20"/>
      <c r="H7617"/>
      <c r="I7617"/>
    </row>
    <row r="7618" spans="2:9" ht="15" x14ac:dyDescent="0.25">
      <c r="B7618"/>
      <c r="C7618"/>
      <c r="D7618"/>
      <c r="E7618"/>
      <c r="F7618"/>
      <c r="G7618" s="20"/>
      <c r="H7618"/>
      <c r="I7618"/>
    </row>
    <row r="7619" spans="2:9" ht="15" x14ac:dyDescent="0.25">
      <c r="B7619"/>
      <c r="C7619"/>
      <c r="D7619"/>
      <c r="E7619"/>
      <c r="F7619"/>
      <c r="G7619" s="20"/>
      <c r="H7619"/>
      <c r="I7619"/>
    </row>
    <row r="7620" spans="2:9" ht="15" x14ac:dyDescent="0.25">
      <c r="B7620"/>
      <c r="C7620"/>
      <c r="D7620"/>
      <c r="E7620"/>
      <c r="F7620"/>
      <c r="G7620" s="20"/>
      <c r="H7620"/>
      <c r="I7620"/>
    </row>
    <row r="7621" spans="2:9" ht="15" x14ac:dyDescent="0.25">
      <c r="B7621"/>
      <c r="C7621"/>
      <c r="D7621"/>
      <c r="E7621"/>
      <c r="F7621"/>
      <c r="G7621" s="20"/>
      <c r="H7621"/>
      <c r="I7621"/>
    </row>
    <row r="7622" spans="2:9" ht="15" x14ac:dyDescent="0.25">
      <c r="B7622"/>
      <c r="C7622"/>
      <c r="D7622"/>
      <c r="E7622"/>
      <c r="F7622"/>
      <c r="G7622" s="20"/>
      <c r="H7622"/>
      <c r="I7622"/>
    </row>
    <row r="7623" spans="2:9" ht="15" x14ac:dyDescent="0.25">
      <c r="B7623"/>
      <c r="C7623"/>
      <c r="D7623"/>
      <c r="E7623"/>
      <c r="F7623"/>
      <c r="G7623" s="20"/>
      <c r="H7623"/>
      <c r="I7623"/>
    </row>
    <row r="7624" spans="2:9" ht="15" x14ac:dyDescent="0.25">
      <c r="B7624"/>
      <c r="C7624"/>
      <c r="D7624"/>
      <c r="E7624"/>
      <c r="F7624"/>
      <c r="G7624" s="20"/>
      <c r="H7624"/>
      <c r="I7624"/>
    </row>
    <row r="7625" spans="2:9" ht="15" x14ac:dyDescent="0.25">
      <c r="B7625"/>
      <c r="C7625"/>
      <c r="D7625"/>
      <c r="E7625"/>
      <c r="F7625"/>
      <c r="G7625" s="20"/>
      <c r="H7625"/>
      <c r="I7625"/>
    </row>
    <row r="7626" spans="2:9" ht="15" x14ac:dyDescent="0.25">
      <c r="B7626"/>
      <c r="C7626"/>
      <c r="D7626"/>
      <c r="E7626"/>
      <c r="F7626"/>
      <c r="G7626" s="20"/>
      <c r="H7626"/>
      <c r="I7626"/>
    </row>
    <row r="7627" spans="2:9" ht="15" x14ac:dyDescent="0.25">
      <c r="B7627"/>
      <c r="C7627"/>
      <c r="D7627"/>
      <c r="E7627"/>
      <c r="F7627"/>
      <c r="G7627" s="20"/>
      <c r="H7627"/>
      <c r="I7627"/>
    </row>
    <row r="7628" spans="2:9" ht="15" x14ac:dyDescent="0.25">
      <c r="B7628"/>
      <c r="C7628"/>
      <c r="D7628"/>
      <c r="E7628"/>
      <c r="F7628"/>
      <c r="G7628" s="20"/>
      <c r="H7628"/>
      <c r="I7628"/>
    </row>
    <row r="7629" spans="2:9" ht="15" x14ac:dyDescent="0.25">
      <c r="B7629"/>
      <c r="C7629"/>
      <c r="D7629"/>
      <c r="E7629"/>
      <c r="F7629"/>
      <c r="G7629" s="20"/>
      <c r="H7629"/>
      <c r="I7629"/>
    </row>
    <row r="7630" spans="2:9" ht="15" x14ac:dyDescent="0.25">
      <c r="B7630"/>
      <c r="C7630"/>
      <c r="D7630"/>
      <c r="E7630"/>
      <c r="F7630"/>
      <c r="G7630" s="20"/>
      <c r="H7630"/>
      <c r="I7630"/>
    </row>
    <row r="7631" spans="2:9" ht="15" x14ac:dyDescent="0.25">
      <c r="B7631"/>
      <c r="C7631"/>
      <c r="D7631"/>
      <c r="E7631"/>
      <c r="F7631"/>
      <c r="G7631" s="20"/>
      <c r="H7631"/>
      <c r="I7631"/>
    </row>
    <row r="7632" spans="2:9" ht="15" x14ac:dyDescent="0.25">
      <c r="B7632"/>
      <c r="C7632"/>
      <c r="D7632"/>
      <c r="E7632"/>
      <c r="F7632"/>
      <c r="G7632" s="20"/>
      <c r="H7632"/>
      <c r="I7632"/>
    </row>
    <row r="7633" spans="2:9" ht="15" x14ac:dyDescent="0.25">
      <c r="B7633"/>
      <c r="C7633"/>
      <c r="D7633"/>
      <c r="E7633"/>
      <c r="F7633"/>
      <c r="G7633" s="20"/>
      <c r="H7633"/>
      <c r="I7633"/>
    </row>
    <row r="7634" spans="2:9" ht="15" x14ac:dyDescent="0.25">
      <c r="B7634"/>
      <c r="C7634"/>
      <c r="D7634"/>
      <c r="E7634"/>
      <c r="F7634"/>
      <c r="G7634" s="20"/>
      <c r="H7634"/>
      <c r="I7634"/>
    </row>
    <row r="7635" spans="2:9" ht="15" x14ac:dyDescent="0.25">
      <c r="B7635"/>
      <c r="C7635"/>
      <c r="D7635"/>
      <c r="E7635"/>
      <c r="F7635"/>
      <c r="G7635" s="20"/>
      <c r="H7635"/>
      <c r="I7635"/>
    </row>
    <row r="7636" spans="2:9" ht="15" x14ac:dyDescent="0.25">
      <c r="B7636"/>
      <c r="C7636"/>
      <c r="D7636"/>
      <c r="E7636"/>
      <c r="F7636"/>
      <c r="G7636" s="20"/>
      <c r="H7636"/>
      <c r="I7636"/>
    </row>
    <row r="7637" spans="2:9" ht="15" x14ac:dyDescent="0.25">
      <c r="B7637"/>
      <c r="C7637"/>
      <c r="D7637"/>
      <c r="E7637"/>
      <c r="F7637"/>
      <c r="G7637" s="20"/>
      <c r="H7637"/>
      <c r="I7637"/>
    </row>
    <row r="7638" spans="2:9" ht="15" x14ac:dyDescent="0.25">
      <c r="B7638"/>
      <c r="C7638"/>
      <c r="D7638"/>
      <c r="E7638"/>
      <c r="F7638"/>
      <c r="G7638" s="20"/>
      <c r="H7638"/>
      <c r="I7638"/>
    </row>
    <row r="7639" spans="2:9" ht="15" x14ac:dyDescent="0.25">
      <c r="B7639"/>
      <c r="C7639"/>
      <c r="D7639"/>
      <c r="E7639"/>
      <c r="F7639"/>
      <c r="G7639" s="20"/>
      <c r="H7639"/>
      <c r="I7639"/>
    </row>
    <row r="7640" spans="2:9" ht="15" x14ac:dyDescent="0.25">
      <c r="B7640"/>
      <c r="C7640"/>
      <c r="D7640"/>
      <c r="E7640"/>
      <c r="F7640"/>
      <c r="G7640" s="20"/>
      <c r="H7640"/>
      <c r="I7640"/>
    </row>
    <row r="7641" spans="2:9" ht="15" x14ac:dyDescent="0.25">
      <c r="B7641"/>
      <c r="C7641"/>
      <c r="D7641"/>
      <c r="E7641"/>
      <c r="F7641"/>
      <c r="G7641" s="20"/>
      <c r="H7641"/>
      <c r="I7641"/>
    </row>
    <row r="7642" spans="2:9" ht="15" x14ac:dyDescent="0.25">
      <c r="B7642"/>
      <c r="C7642"/>
      <c r="D7642"/>
      <c r="E7642"/>
      <c r="F7642"/>
      <c r="G7642" s="20"/>
      <c r="H7642"/>
      <c r="I7642"/>
    </row>
    <row r="7643" spans="2:9" ht="15" x14ac:dyDescent="0.25">
      <c r="B7643"/>
      <c r="C7643"/>
      <c r="D7643"/>
      <c r="E7643"/>
      <c r="F7643"/>
      <c r="G7643" s="20"/>
      <c r="H7643"/>
      <c r="I7643"/>
    </row>
    <row r="7644" spans="2:9" ht="15" x14ac:dyDescent="0.25">
      <c r="B7644"/>
      <c r="C7644"/>
      <c r="D7644"/>
      <c r="E7644"/>
      <c r="F7644"/>
      <c r="G7644" s="20"/>
      <c r="H7644"/>
      <c r="I7644"/>
    </row>
    <row r="7645" spans="2:9" ht="15" x14ac:dyDescent="0.25">
      <c r="B7645"/>
      <c r="C7645"/>
      <c r="D7645"/>
      <c r="E7645"/>
      <c r="F7645"/>
      <c r="G7645" s="20"/>
      <c r="H7645"/>
      <c r="I7645"/>
    </row>
    <row r="7646" spans="2:9" ht="15" x14ac:dyDescent="0.25">
      <c r="B7646"/>
      <c r="C7646"/>
      <c r="D7646"/>
      <c r="E7646"/>
      <c r="F7646"/>
      <c r="G7646" s="20"/>
      <c r="H7646"/>
      <c r="I7646"/>
    </row>
    <row r="7647" spans="2:9" ht="15" x14ac:dyDescent="0.25">
      <c r="B7647"/>
      <c r="C7647"/>
      <c r="D7647"/>
      <c r="E7647"/>
      <c r="F7647"/>
      <c r="G7647" s="20"/>
      <c r="H7647"/>
      <c r="I7647"/>
    </row>
    <row r="7648" spans="2:9" ht="15" x14ac:dyDescent="0.25">
      <c r="B7648"/>
      <c r="C7648"/>
      <c r="D7648"/>
      <c r="E7648"/>
      <c r="F7648"/>
      <c r="G7648" s="20"/>
      <c r="H7648"/>
      <c r="I7648"/>
    </row>
    <row r="7649" spans="2:9" ht="15" x14ac:dyDescent="0.25">
      <c r="B7649"/>
      <c r="C7649"/>
      <c r="D7649"/>
      <c r="E7649"/>
      <c r="F7649"/>
      <c r="G7649" s="20"/>
      <c r="H7649"/>
      <c r="I7649"/>
    </row>
    <row r="7650" spans="2:9" ht="15" x14ac:dyDescent="0.25">
      <c r="B7650"/>
      <c r="C7650"/>
      <c r="D7650"/>
      <c r="E7650"/>
      <c r="F7650"/>
      <c r="G7650" s="20"/>
      <c r="H7650"/>
      <c r="I7650"/>
    </row>
    <row r="7651" spans="2:9" ht="15" x14ac:dyDescent="0.25">
      <c r="B7651"/>
      <c r="C7651"/>
      <c r="D7651"/>
      <c r="E7651"/>
      <c r="F7651"/>
      <c r="G7651" s="20"/>
      <c r="H7651"/>
      <c r="I7651"/>
    </row>
    <row r="7652" spans="2:9" ht="15" x14ac:dyDescent="0.25">
      <c r="B7652"/>
      <c r="C7652"/>
      <c r="D7652"/>
      <c r="E7652"/>
      <c r="F7652"/>
      <c r="G7652" s="20"/>
      <c r="H7652"/>
      <c r="I7652"/>
    </row>
    <row r="7653" spans="2:9" ht="15" x14ac:dyDescent="0.25">
      <c r="B7653"/>
      <c r="C7653"/>
      <c r="D7653"/>
      <c r="E7653"/>
      <c r="F7653"/>
      <c r="G7653" s="20"/>
      <c r="H7653"/>
      <c r="I7653"/>
    </row>
    <row r="7654" spans="2:9" ht="15" x14ac:dyDescent="0.25">
      <c r="B7654"/>
      <c r="C7654"/>
      <c r="D7654"/>
      <c r="E7654"/>
      <c r="F7654"/>
      <c r="G7654" s="20"/>
      <c r="H7654"/>
      <c r="I7654"/>
    </row>
    <row r="7655" spans="2:9" ht="15" x14ac:dyDescent="0.25">
      <c r="B7655"/>
      <c r="C7655"/>
      <c r="D7655"/>
      <c r="E7655"/>
      <c r="F7655"/>
      <c r="G7655" s="20"/>
      <c r="H7655"/>
      <c r="I7655"/>
    </row>
    <row r="7656" spans="2:9" ht="15" x14ac:dyDescent="0.25">
      <c r="B7656"/>
      <c r="C7656"/>
      <c r="D7656"/>
      <c r="E7656"/>
      <c r="F7656"/>
      <c r="G7656" s="20"/>
      <c r="H7656"/>
      <c r="I7656"/>
    </row>
    <row r="7657" spans="2:9" ht="15" x14ac:dyDescent="0.25">
      <c r="B7657"/>
      <c r="C7657"/>
      <c r="D7657"/>
      <c r="E7657"/>
      <c r="F7657"/>
      <c r="G7657" s="20"/>
      <c r="H7657"/>
      <c r="I7657"/>
    </row>
    <row r="7658" spans="2:9" ht="15" x14ac:dyDescent="0.25">
      <c r="B7658"/>
      <c r="C7658"/>
      <c r="D7658"/>
      <c r="E7658"/>
      <c r="F7658"/>
      <c r="G7658" s="20"/>
      <c r="H7658"/>
      <c r="I7658"/>
    </row>
    <row r="7659" spans="2:9" ht="15" x14ac:dyDescent="0.25">
      <c r="B7659"/>
      <c r="C7659"/>
      <c r="D7659"/>
      <c r="E7659"/>
      <c r="F7659"/>
      <c r="G7659" s="20"/>
      <c r="H7659"/>
      <c r="I7659"/>
    </row>
    <row r="7660" spans="2:9" ht="15" x14ac:dyDescent="0.25">
      <c r="B7660"/>
      <c r="C7660"/>
      <c r="D7660"/>
      <c r="E7660"/>
      <c r="F7660"/>
      <c r="G7660" s="20"/>
      <c r="H7660"/>
      <c r="I7660"/>
    </row>
    <row r="7661" spans="2:9" ht="15" x14ac:dyDescent="0.25">
      <c r="B7661"/>
      <c r="C7661"/>
      <c r="D7661"/>
      <c r="E7661"/>
      <c r="F7661"/>
      <c r="G7661" s="20"/>
      <c r="H7661"/>
      <c r="I7661"/>
    </row>
    <row r="7662" spans="2:9" ht="15" x14ac:dyDescent="0.25">
      <c r="B7662"/>
      <c r="C7662"/>
      <c r="D7662"/>
      <c r="E7662"/>
      <c r="F7662"/>
      <c r="G7662" s="20"/>
      <c r="H7662"/>
      <c r="I7662"/>
    </row>
    <row r="7663" spans="2:9" ht="15" x14ac:dyDescent="0.25">
      <c r="B7663"/>
      <c r="C7663"/>
      <c r="D7663"/>
      <c r="E7663"/>
      <c r="F7663"/>
      <c r="G7663" s="20"/>
      <c r="H7663"/>
      <c r="I7663"/>
    </row>
    <row r="7664" spans="2:9" ht="15" x14ac:dyDescent="0.25">
      <c r="B7664"/>
      <c r="C7664"/>
      <c r="D7664"/>
      <c r="E7664"/>
      <c r="F7664"/>
      <c r="G7664" s="20"/>
      <c r="H7664"/>
      <c r="I7664"/>
    </row>
    <row r="7665" spans="2:9" ht="15" x14ac:dyDescent="0.25">
      <c r="B7665"/>
      <c r="C7665"/>
      <c r="D7665"/>
      <c r="E7665"/>
      <c r="F7665"/>
      <c r="G7665" s="20"/>
      <c r="H7665"/>
      <c r="I7665"/>
    </row>
    <row r="7666" spans="2:9" ht="15" x14ac:dyDescent="0.25">
      <c r="B7666"/>
      <c r="C7666"/>
      <c r="D7666"/>
      <c r="E7666"/>
      <c r="F7666"/>
      <c r="G7666" s="20"/>
      <c r="H7666"/>
      <c r="I7666"/>
    </row>
    <row r="7667" spans="2:9" ht="15" x14ac:dyDescent="0.25">
      <c r="B7667"/>
      <c r="C7667"/>
      <c r="D7667"/>
      <c r="E7667"/>
      <c r="F7667"/>
      <c r="G7667" s="20"/>
      <c r="H7667"/>
      <c r="I7667"/>
    </row>
    <row r="7668" spans="2:9" ht="15" x14ac:dyDescent="0.25">
      <c r="B7668"/>
      <c r="C7668"/>
      <c r="D7668"/>
      <c r="E7668"/>
      <c r="F7668"/>
      <c r="G7668" s="20"/>
      <c r="H7668"/>
      <c r="I7668"/>
    </row>
    <row r="7669" spans="2:9" ht="15" x14ac:dyDescent="0.25">
      <c r="B7669"/>
      <c r="C7669"/>
      <c r="D7669"/>
      <c r="E7669"/>
      <c r="F7669"/>
      <c r="G7669" s="20"/>
      <c r="H7669"/>
      <c r="I7669"/>
    </row>
    <row r="7670" spans="2:9" ht="15" x14ac:dyDescent="0.25">
      <c r="B7670"/>
      <c r="C7670"/>
      <c r="D7670"/>
      <c r="E7670"/>
      <c r="F7670"/>
      <c r="G7670" s="20"/>
      <c r="H7670"/>
      <c r="I7670"/>
    </row>
    <row r="7671" spans="2:9" ht="15" x14ac:dyDescent="0.25">
      <c r="B7671"/>
      <c r="C7671"/>
      <c r="D7671"/>
      <c r="E7671"/>
      <c r="F7671"/>
      <c r="G7671" s="20"/>
      <c r="H7671"/>
      <c r="I7671"/>
    </row>
    <row r="7672" spans="2:9" ht="15" x14ac:dyDescent="0.25">
      <c r="B7672"/>
      <c r="C7672"/>
      <c r="D7672"/>
      <c r="E7672"/>
      <c r="F7672"/>
      <c r="G7672" s="20"/>
      <c r="H7672"/>
      <c r="I7672"/>
    </row>
    <row r="7673" spans="2:9" ht="15" x14ac:dyDescent="0.25">
      <c r="B7673"/>
      <c r="C7673"/>
      <c r="D7673"/>
      <c r="E7673"/>
      <c r="F7673"/>
      <c r="G7673" s="20"/>
      <c r="H7673"/>
      <c r="I7673"/>
    </row>
    <row r="7674" spans="2:9" ht="15" x14ac:dyDescent="0.25">
      <c r="B7674"/>
      <c r="C7674"/>
      <c r="D7674"/>
      <c r="E7674"/>
      <c r="F7674"/>
      <c r="G7674" s="20"/>
      <c r="H7674"/>
      <c r="I7674"/>
    </row>
    <row r="7675" spans="2:9" ht="15" x14ac:dyDescent="0.25">
      <c r="B7675"/>
      <c r="C7675"/>
      <c r="D7675"/>
      <c r="E7675"/>
      <c r="F7675"/>
      <c r="G7675" s="20"/>
      <c r="H7675"/>
      <c r="I7675"/>
    </row>
    <row r="7676" spans="2:9" ht="15" x14ac:dyDescent="0.25">
      <c r="B7676"/>
      <c r="C7676"/>
      <c r="D7676"/>
      <c r="E7676"/>
      <c r="F7676"/>
      <c r="G7676" s="20"/>
      <c r="H7676"/>
      <c r="I7676"/>
    </row>
    <row r="7677" spans="2:9" ht="15" x14ac:dyDescent="0.25">
      <c r="B7677"/>
      <c r="C7677"/>
      <c r="D7677"/>
      <c r="E7677"/>
      <c r="F7677"/>
      <c r="G7677" s="20"/>
      <c r="H7677"/>
      <c r="I7677"/>
    </row>
    <row r="7678" spans="2:9" ht="15" x14ac:dyDescent="0.25">
      <c r="B7678"/>
      <c r="C7678"/>
      <c r="D7678"/>
      <c r="E7678"/>
      <c r="F7678"/>
      <c r="G7678" s="20"/>
      <c r="H7678"/>
      <c r="I7678"/>
    </row>
    <row r="7679" spans="2:9" ht="15" x14ac:dyDescent="0.25">
      <c r="B7679"/>
      <c r="C7679"/>
      <c r="D7679"/>
      <c r="E7679"/>
      <c r="F7679"/>
      <c r="G7679" s="20"/>
      <c r="H7679"/>
      <c r="I7679"/>
    </row>
    <row r="7680" spans="2:9" ht="15" x14ac:dyDescent="0.25">
      <c r="B7680"/>
      <c r="C7680"/>
      <c r="D7680"/>
      <c r="E7680"/>
      <c r="F7680"/>
      <c r="G7680" s="20"/>
      <c r="H7680"/>
      <c r="I7680"/>
    </row>
    <row r="7681" spans="2:9" ht="15" x14ac:dyDescent="0.25">
      <c r="B7681"/>
      <c r="C7681"/>
      <c r="D7681"/>
      <c r="E7681"/>
      <c r="F7681"/>
      <c r="G7681" s="20"/>
      <c r="H7681"/>
      <c r="I7681"/>
    </row>
    <row r="7682" spans="2:9" ht="15" x14ac:dyDescent="0.25">
      <c r="B7682"/>
      <c r="C7682"/>
      <c r="D7682"/>
      <c r="E7682"/>
      <c r="F7682"/>
      <c r="G7682" s="20"/>
      <c r="H7682"/>
      <c r="I7682"/>
    </row>
    <row r="7683" spans="2:9" ht="15" x14ac:dyDescent="0.25">
      <c r="B7683"/>
      <c r="C7683"/>
      <c r="D7683"/>
      <c r="E7683"/>
      <c r="F7683"/>
      <c r="G7683" s="20"/>
      <c r="H7683"/>
      <c r="I7683"/>
    </row>
    <row r="7684" spans="2:9" ht="15" x14ac:dyDescent="0.25">
      <c r="B7684"/>
      <c r="C7684"/>
      <c r="D7684"/>
      <c r="E7684"/>
      <c r="F7684"/>
      <c r="G7684" s="20"/>
      <c r="H7684"/>
      <c r="I7684"/>
    </row>
    <row r="7685" spans="2:9" ht="15" x14ac:dyDescent="0.25">
      <c r="B7685"/>
      <c r="C7685"/>
      <c r="D7685"/>
      <c r="E7685"/>
      <c r="F7685"/>
      <c r="G7685" s="20"/>
      <c r="H7685"/>
      <c r="I7685"/>
    </row>
    <row r="7686" spans="2:9" ht="15" x14ac:dyDescent="0.25">
      <c r="B7686"/>
      <c r="C7686"/>
      <c r="D7686"/>
      <c r="E7686"/>
      <c r="F7686"/>
      <c r="G7686" s="20"/>
      <c r="H7686"/>
      <c r="I7686"/>
    </row>
    <row r="7687" spans="2:9" ht="15" x14ac:dyDescent="0.25">
      <c r="B7687"/>
      <c r="C7687"/>
      <c r="D7687"/>
      <c r="E7687"/>
      <c r="F7687"/>
      <c r="G7687" s="20"/>
      <c r="H7687"/>
      <c r="I7687"/>
    </row>
    <row r="7688" spans="2:9" ht="15" x14ac:dyDescent="0.25">
      <c r="B7688"/>
      <c r="C7688"/>
      <c r="D7688"/>
      <c r="E7688"/>
      <c r="F7688"/>
      <c r="G7688" s="20"/>
      <c r="H7688"/>
      <c r="I7688"/>
    </row>
    <row r="7689" spans="2:9" ht="15" x14ac:dyDescent="0.25">
      <c r="B7689"/>
      <c r="C7689"/>
      <c r="D7689"/>
      <c r="E7689"/>
      <c r="F7689"/>
      <c r="G7689" s="20"/>
      <c r="H7689"/>
      <c r="I7689"/>
    </row>
    <row r="7690" spans="2:9" ht="15" x14ac:dyDescent="0.25">
      <c r="B7690"/>
      <c r="C7690"/>
      <c r="D7690"/>
      <c r="E7690"/>
      <c r="F7690"/>
      <c r="G7690" s="20"/>
      <c r="H7690"/>
      <c r="I7690"/>
    </row>
    <row r="7691" spans="2:9" ht="15" x14ac:dyDescent="0.25">
      <c r="B7691"/>
      <c r="C7691"/>
      <c r="D7691"/>
      <c r="E7691"/>
      <c r="F7691"/>
      <c r="G7691" s="20"/>
      <c r="H7691"/>
      <c r="I7691"/>
    </row>
    <row r="7692" spans="2:9" ht="15" x14ac:dyDescent="0.25">
      <c r="B7692"/>
      <c r="C7692"/>
      <c r="D7692"/>
      <c r="E7692"/>
      <c r="F7692"/>
      <c r="G7692" s="20"/>
      <c r="H7692"/>
      <c r="I7692"/>
    </row>
    <row r="7693" spans="2:9" ht="15" x14ac:dyDescent="0.25">
      <c r="B7693"/>
      <c r="C7693"/>
      <c r="D7693"/>
      <c r="E7693"/>
      <c r="F7693"/>
      <c r="G7693" s="20"/>
      <c r="H7693"/>
      <c r="I7693"/>
    </row>
    <row r="7694" spans="2:9" ht="15" x14ac:dyDescent="0.25">
      <c r="B7694"/>
      <c r="C7694"/>
      <c r="D7694"/>
      <c r="E7694"/>
      <c r="F7694"/>
      <c r="G7694" s="20"/>
      <c r="H7694"/>
      <c r="I7694"/>
    </row>
    <row r="7695" spans="2:9" ht="15" x14ac:dyDescent="0.25">
      <c r="B7695"/>
      <c r="C7695"/>
      <c r="D7695"/>
      <c r="E7695"/>
      <c r="F7695"/>
      <c r="G7695" s="20"/>
      <c r="H7695"/>
      <c r="I7695"/>
    </row>
    <row r="7696" spans="2:9" ht="15" x14ac:dyDescent="0.25">
      <c r="B7696"/>
      <c r="C7696"/>
      <c r="D7696"/>
      <c r="E7696"/>
      <c r="F7696"/>
      <c r="G7696" s="20"/>
      <c r="H7696"/>
      <c r="I7696"/>
    </row>
    <row r="7697" spans="2:9" ht="15" x14ac:dyDescent="0.25">
      <c r="B7697"/>
      <c r="C7697"/>
      <c r="D7697"/>
      <c r="E7697"/>
      <c r="F7697"/>
      <c r="G7697" s="20"/>
      <c r="H7697"/>
      <c r="I7697"/>
    </row>
    <row r="7698" spans="2:9" ht="15" x14ac:dyDescent="0.25">
      <c r="B7698"/>
      <c r="C7698"/>
      <c r="D7698"/>
      <c r="E7698"/>
      <c r="F7698"/>
      <c r="G7698" s="20"/>
      <c r="H7698"/>
      <c r="I7698"/>
    </row>
    <row r="7699" spans="2:9" ht="15" x14ac:dyDescent="0.25">
      <c r="B7699"/>
      <c r="C7699"/>
      <c r="D7699"/>
      <c r="E7699"/>
      <c r="F7699"/>
      <c r="G7699" s="20"/>
      <c r="H7699"/>
      <c r="I7699"/>
    </row>
    <row r="7700" spans="2:9" ht="15" x14ac:dyDescent="0.25">
      <c r="B7700"/>
      <c r="C7700"/>
      <c r="D7700"/>
      <c r="E7700"/>
      <c r="F7700"/>
      <c r="G7700" s="20"/>
      <c r="H7700"/>
      <c r="I7700"/>
    </row>
    <row r="7701" spans="2:9" ht="15" x14ac:dyDescent="0.25">
      <c r="B7701"/>
      <c r="C7701"/>
      <c r="D7701"/>
      <c r="E7701"/>
      <c r="F7701"/>
      <c r="G7701" s="20"/>
      <c r="H7701"/>
      <c r="I7701"/>
    </row>
    <row r="7702" spans="2:9" ht="15" x14ac:dyDescent="0.25">
      <c r="B7702"/>
      <c r="C7702"/>
      <c r="D7702"/>
      <c r="E7702"/>
      <c r="F7702"/>
      <c r="G7702" s="20"/>
      <c r="H7702"/>
      <c r="I7702"/>
    </row>
    <row r="7703" spans="2:9" ht="15" x14ac:dyDescent="0.25">
      <c r="B7703"/>
      <c r="C7703"/>
      <c r="D7703"/>
      <c r="E7703"/>
      <c r="F7703"/>
      <c r="G7703" s="20"/>
      <c r="H7703"/>
      <c r="I7703"/>
    </row>
    <row r="7704" spans="2:9" ht="15" x14ac:dyDescent="0.25">
      <c r="B7704"/>
      <c r="C7704"/>
      <c r="D7704"/>
      <c r="E7704"/>
      <c r="F7704"/>
      <c r="G7704" s="20"/>
      <c r="H7704"/>
      <c r="I7704"/>
    </row>
    <row r="7705" spans="2:9" ht="15" x14ac:dyDescent="0.25">
      <c r="B7705"/>
      <c r="C7705"/>
      <c r="D7705"/>
      <c r="E7705"/>
      <c r="F7705"/>
      <c r="G7705" s="20"/>
      <c r="H7705"/>
      <c r="I7705"/>
    </row>
    <row r="7706" spans="2:9" ht="15" x14ac:dyDescent="0.25">
      <c r="B7706"/>
      <c r="C7706"/>
      <c r="D7706"/>
      <c r="E7706"/>
      <c r="F7706"/>
      <c r="G7706" s="20"/>
      <c r="H7706"/>
      <c r="I7706"/>
    </row>
    <row r="7707" spans="2:9" ht="15" x14ac:dyDescent="0.25">
      <c r="B7707"/>
      <c r="C7707"/>
      <c r="D7707"/>
      <c r="E7707"/>
      <c r="F7707"/>
      <c r="G7707" s="20"/>
      <c r="H7707"/>
      <c r="I7707"/>
    </row>
    <row r="7708" spans="2:9" ht="15" x14ac:dyDescent="0.25">
      <c r="B7708"/>
      <c r="C7708"/>
      <c r="D7708"/>
      <c r="E7708"/>
      <c r="F7708"/>
      <c r="G7708" s="20"/>
      <c r="H7708"/>
      <c r="I7708"/>
    </row>
    <row r="7709" spans="2:9" ht="15" x14ac:dyDescent="0.25">
      <c r="B7709"/>
      <c r="C7709"/>
      <c r="D7709"/>
      <c r="E7709"/>
      <c r="F7709"/>
      <c r="G7709" s="20"/>
      <c r="H7709"/>
      <c r="I7709"/>
    </row>
    <row r="7710" spans="2:9" ht="15" x14ac:dyDescent="0.25">
      <c r="B7710"/>
      <c r="C7710"/>
      <c r="D7710"/>
      <c r="E7710"/>
      <c r="F7710"/>
      <c r="G7710" s="20"/>
      <c r="H7710"/>
      <c r="I7710"/>
    </row>
    <row r="7711" spans="2:9" ht="15" x14ac:dyDescent="0.25">
      <c r="B7711"/>
      <c r="C7711"/>
      <c r="D7711"/>
      <c r="E7711"/>
      <c r="F7711"/>
      <c r="G7711" s="20"/>
      <c r="H7711"/>
      <c r="I7711"/>
    </row>
    <row r="7712" spans="2:9" ht="15" x14ac:dyDescent="0.25">
      <c r="B7712"/>
      <c r="C7712"/>
      <c r="D7712"/>
      <c r="E7712"/>
      <c r="F7712"/>
      <c r="G7712" s="20"/>
      <c r="H7712"/>
      <c r="I7712"/>
    </row>
    <row r="7713" spans="2:9" ht="15" x14ac:dyDescent="0.25">
      <c r="B7713"/>
      <c r="C7713"/>
      <c r="D7713"/>
      <c r="E7713"/>
      <c r="F7713"/>
      <c r="G7713" s="20"/>
      <c r="H7713"/>
      <c r="I7713"/>
    </row>
    <row r="7714" spans="2:9" ht="15" x14ac:dyDescent="0.25">
      <c r="B7714"/>
      <c r="C7714"/>
      <c r="D7714"/>
      <c r="E7714"/>
      <c r="F7714"/>
      <c r="G7714" s="20"/>
      <c r="H7714"/>
      <c r="I7714"/>
    </row>
    <row r="7715" spans="2:9" ht="15" x14ac:dyDescent="0.25">
      <c r="B7715"/>
      <c r="C7715"/>
      <c r="D7715"/>
      <c r="E7715"/>
      <c r="F7715"/>
      <c r="G7715" s="20"/>
      <c r="H7715"/>
      <c r="I7715"/>
    </row>
    <row r="7716" spans="2:9" ht="15" x14ac:dyDescent="0.25">
      <c r="B7716"/>
      <c r="C7716"/>
      <c r="D7716"/>
      <c r="E7716"/>
      <c r="F7716"/>
      <c r="G7716" s="20"/>
      <c r="H7716"/>
      <c r="I7716"/>
    </row>
    <row r="7717" spans="2:9" ht="15" x14ac:dyDescent="0.25">
      <c r="B7717"/>
      <c r="C7717"/>
      <c r="D7717"/>
      <c r="E7717"/>
      <c r="F7717"/>
      <c r="G7717" s="20"/>
      <c r="H7717"/>
      <c r="I7717"/>
    </row>
    <row r="7718" spans="2:9" ht="15" x14ac:dyDescent="0.25">
      <c r="B7718"/>
      <c r="C7718"/>
      <c r="D7718"/>
      <c r="E7718"/>
      <c r="F7718"/>
      <c r="G7718" s="20"/>
      <c r="H7718"/>
      <c r="I7718"/>
    </row>
    <row r="7719" spans="2:9" ht="15" x14ac:dyDescent="0.25">
      <c r="B7719"/>
      <c r="C7719"/>
      <c r="D7719"/>
      <c r="E7719"/>
      <c r="F7719"/>
      <c r="G7719" s="20"/>
      <c r="H7719"/>
      <c r="I7719"/>
    </row>
    <row r="7720" spans="2:9" ht="15" x14ac:dyDescent="0.25">
      <c r="B7720"/>
      <c r="C7720"/>
      <c r="D7720"/>
      <c r="E7720"/>
      <c r="F7720"/>
      <c r="G7720" s="20"/>
      <c r="H7720"/>
      <c r="I7720"/>
    </row>
    <row r="7721" spans="2:9" ht="15" x14ac:dyDescent="0.25">
      <c r="B7721"/>
      <c r="C7721"/>
      <c r="D7721"/>
      <c r="E7721"/>
      <c r="F7721"/>
      <c r="G7721" s="20"/>
      <c r="H7721"/>
      <c r="I7721"/>
    </row>
    <row r="7722" spans="2:9" ht="15" x14ac:dyDescent="0.25">
      <c r="B7722"/>
      <c r="C7722"/>
      <c r="D7722"/>
      <c r="E7722"/>
      <c r="F7722"/>
      <c r="G7722" s="20"/>
      <c r="H7722"/>
      <c r="I7722"/>
    </row>
    <row r="7723" spans="2:9" ht="15" x14ac:dyDescent="0.25">
      <c r="B7723"/>
      <c r="C7723"/>
      <c r="D7723"/>
      <c r="E7723"/>
      <c r="F7723"/>
      <c r="G7723" s="20"/>
      <c r="H7723"/>
      <c r="I7723"/>
    </row>
    <row r="7724" spans="2:9" ht="15" x14ac:dyDescent="0.25">
      <c r="B7724"/>
      <c r="C7724"/>
      <c r="D7724"/>
      <c r="E7724"/>
      <c r="F7724"/>
      <c r="G7724" s="20"/>
      <c r="H7724"/>
      <c r="I7724"/>
    </row>
    <row r="7725" spans="2:9" ht="15" x14ac:dyDescent="0.25">
      <c r="B7725"/>
      <c r="C7725"/>
      <c r="D7725"/>
      <c r="E7725"/>
      <c r="F7725"/>
      <c r="G7725" s="20"/>
      <c r="H7725"/>
      <c r="I7725"/>
    </row>
    <row r="7726" spans="2:9" ht="15" x14ac:dyDescent="0.25">
      <c r="B7726"/>
      <c r="C7726"/>
      <c r="D7726"/>
      <c r="E7726"/>
      <c r="F7726"/>
      <c r="G7726" s="20"/>
      <c r="H7726"/>
      <c r="I7726"/>
    </row>
    <row r="7727" spans="2:9" ht="15" x14ac:dyDescent="0.25">
      <c r="B7727"/>
      <c r="C7727"/>
      <c r="D7727"/>
      <c r="E7727"/>
      <c r="F7727"/>
      <c r="G7727" s="20"/>
      <c r="H7727"/>
      <c r="I7727"/>
    </row>
    <row r="7728" spans="2:9" ht="15" x14ac:dyDescent="0.25">
      <c r="B7728"/>
      <c r="C7728"/>
      <c r="D7728"/>
      <c r="E7728"/>
      <c r="F7728"/>
      <c r="G7728" s="20"/>
      <c r="H7728"/>
      <c r="I7728"/>
    </row>
    <row r="7729" spans="2:9" ht="15" x14ac:dyDescent="0.25">
      <c r="B7729"/>
      <c r="C7729"/>
      <c r="D7729"/>
      <c r="E7729"/>
      <c r="F7729"/>
      <c r="G7729" s="20"/>
      <c r="H7729"/>
      <c r="I7729"/>
    </row>
    <row r="7730" spans="2:9" ht="15" x14ac:dyDescent="0.25">
      <c r="B7730"/>
      <c r="C7730"/>
      <c r="D7730"/>
      <c r="E7730"/>
      <c r="F7730"/>
      <c r="G7730" s="20"/>
      <c r="H7730"/>
      <c r="I7730"/>
    </row>
    <row r="7731" spans="2:9" ht="15" x14ac:dyDescent="0.25">
      <c r="B7731"/>
      <c r="C7731"/>
      <c r="D7731"/>
      <c r="E7731"/>
      <c r="F7731"/>
      <c r="G7731" s="20"/>
      <c r="H7731"/>
      <c r="I7731"/>
    </row>
    <row r="7732" spans="2:9" ht="15" x14ac:dyDescent="0.25">
      <c r="B7732"/>
      <c r="C7732"/>
      <c r="D7732"/>
      <c r="E7732"/>
      <c r="F7732"/>
      <c r="G7732" s="20"/>
      <c r="H7732"/>
      <c r="I7732"/>
    </row>
    <row r="7733" spans="2:9" ht="15" x14ac:dyDescent="0.25">
      <c r="B7733"/>
      <c r="C7733"/>
      <c r="D7733"/>
      <c r="E7733"/>
      <c r="F7733"/>
      <c r="G7733" s="20"/>
      <c r="H7733"/>
      <c r="I7733"/>
    </row>
    <row r="7734" spans="2:9" ht="15" x14ac:dyDescent="0.25">
      <c r="B7734"/>
      <c r="C7734"/>
      <c r="D7734"/>
      <c r="E7734"/>
      <c r="F7734"/>
      <c r="G7734" s="20"/>
      <c r="H7734"/>
      <c r="I7734"/>
    </row>
    <row r="7735" spans="2:9" ht="15" x14ac:dyDescent="0.25">
      <c r="B7735"/>
      <c r="C7735"/>
      <c r="D7735"/>
      <c r="E7735"/>
      <c r="F7735"/>
      <c r="G7735" s="20"/>
      <c r="H7735"/>
      <c r="I7735"/>
    </row>
    <row r="7736" spans="2:9" ht="15" x14ac:dyDescent="0.25">
      <c r="B7736"/>
      <c r="C7736"/>
      <c r="D7736"/>
      <c r="E7736"/>
      <c r="F7736"/>
      <c r="G7736" s="20"/>
      <c r="H7736"/>
      <c r="I7736"/>
    </row>
    <row r="7737" spans="2:9" ht="15" x14ac:dyDescent="0.25">
      <c r="B7737"/>
      <c r="C7737"/>
      <c r="D7737"/>
      <c r="E7737"/>
      <c r="F7737"/>
      <c r="G7737" s="20"/>
      <c r="H7737"/>
      <c r="I7737"/>
    </row>
    <row r="7738" spans="2:9" ht="15" x14ac:dyDescent="0.25">
      <c r="B7738"/>
      <c r="C7738"/>
      <c r="D7738"/>
      <c r="E7738"/>
      <c r="F7738"/>
      <c r="G7738" s="20"/>
      <c r="H7738"/>
      <c r="I7738"/>
    </row>
    <row r="7739" spans="2:9" ht="15" x14ac:dyDescent="0.25">
      <c r="B7739"/>
      <c r="C7739"/>
      <c r="D7739"/>
      <c r="E7739"/>
      <c r="F7739"/>
      <c r="G7739" s="20"/>
      <c r="H7739"/>
      <c r="I7739"/>
    </row>
    <row r="7740" spans="2:9" ht="15" x14ac:dyDescent="0.25">
      <c r="B7740"/>
      <c r="C7740"/>
      <c r="D7740"/>
      <c r="E7740"/>
      <c r="F7740"/>
      <c r="G7740" s="20"/>
      <c r="H7740"/>
      <c r="I7740"/>
    </row>
    <row r="7741" spans="2:9" ht="15" x14ac:dyDescent="0.25">
      <c r="B7741"/>
      <c r="C7741"/>
      <c r="D7741"/>
      <c r="E7741"/>
      <c r="F7741"/>
      <c r="G7741" s="20"/>
      <c r="H7741"/>
      <c r="I7741"/>
    </row>
    <row r="7742" spans="2:9" ht="15" x14ac:dyDescent="0.25">
      <c r="B7742"/>
      <c r="C7742"/>
      <c r="D7742"/>
      <c r="E7742"/>
      <c r="F7742"/>
      <c r="G7742" s="20"/>
      <c r="H7742"/>
      <c r="I7742"/>
    </row>
    <row r="7743" spans="2:9" ht="15" x14ac:dyDescent="0.25">
      <c r="B7743"/>
      <c r="C7743"/>
      <c r="D7743"/>
      <c r="E7743"/>
      <c r="F7743"/>
      <c r="G7743" s="20"/>
      <c r="H7743"/>
      <c r="I7743"/>
    </row>
    <row r="7744" spans="2:9" ht="15" x14ac:dyDescent="0.25">
      <c r="B7744"/>
      <c r="C7744"/>
      <c r="D7744"/>
      <c r="E7744"/>
      <c r="F7744"/>
      <c r="G7744" s="20"/>
      <c r="H7744"/>
      <c r="I7744"/>
    </row>
    <row r="7745" spans="2:9" ht="15" x14ac:dyDescent="0.25">
      <c r="B7745"/>
      <c r="C7745"/>
      <c r="D7745"/>
      <c r="E7745"/>
      <c r="F7745"/>
      <c r="G7745" s="20"/>
      <c r="H7745"/>
      <c r="I7745"/>
    </row>
    <row r="7746" spans="2:9" ht="15" x14ac:dyDescent="0.25">
      <c r="B7746"/>
      <c r="C7746"/>
      <c r="D7746"/>
      <c r="E7746"/>
      <c r="F7746"/>
      <c r="G7746" s="20"/>
      <c r="H7746"/>
      <c r="I7746"/>
    </row>
    <row r="7747" spans="2:9" ht="15" x14ac:dyDescent="0.25">
      <c r="B7747"/>
      <c r="C7747"/>
      <c r="D7747"/>
      <c r="E7747"/>
      <c r="F7747"/>
      <c r="G7747" s="20"/>
      <c r="H7747"/>
      <c r="I7747"/>
    </row>
    <row r="7748" spans="2:9" ht="15" x14ac:dyDescent="0.25">
      <c r="B7748"/>
      <c r="C7748"/>
      <c r="D7748"/>
      <c r="E7748"/>
      <c r="F7748"/>
      <c r="G7748" s="20"/>
      <c r="H7748"/>
      <c r="I7748"/>
    </row>
    <row r="7749" spans="2:9" ht="15" x14ac:dyDescent="0.25">
      <c r="B7749"/>
      <c r="C7749"/>
      <c r="D7749"/>
      <c r="E7749"/>
      <c r="F7749"/>
      <c r="G7749" s="20"/>
      <c r="H7749"/>
      <c r="I7749"/>
    </row>
    <row r="7750" spans="2:9" ht="15" x14ac:dyDescent="0.25">
      <c r="B7750"/>
      <c r="C7750"/>
      <c r="D7750"/>
      <c r="E7750"/>
      <c r="F7750"/>
      <c r="G7750" s="20"/>
      <c r="H7750"/>
      <c r="I7750"/>
    </row>
    <row r="7751" spans="2:9" ht="15" x14ac:dyDescent="0.25">
      <c r="B7751"/>
      <c r="C7751"/>
      <c r="D7751"/>
      <c r="E7751"/>
      <c r="F7751"/>
      <c r="G7751" s="20"/>
      <c r="H7751"/>
      <c r="I7751"/>
    </row>
    <row r="7752" spans="2:9" ht="15" x14ac:dyDescent="0.25">
      <c r="B7752"/>
      <c r="C7752"/>
      <c r="D7752"/>
      <c r="E7752"/>
      <c r="F7752"/>
      <c r="G7752" s="20"/>
      <c r="H7752"/>
      <c r="I7752"/>
    </row>
    <row r="7753" spans="2:9" ht="15" x14ac:dyDescent="0.25">
      <c r="B7753"/>
      <c r="C7753"/>
      <c r="D7753"/>
      <c r="E7753"/>
      <c r="F7753"/>
      <c r="G7753" s="20"/>
      <c r="H7753"/>
      <c r="I7753"/>
    </row>
    <row r="7754" spans="2:9" ht="15" x14ac:dyDescent="0.25">
      <c r="B7754"/>
      <c r="C7754"/>
      <c r="D7754"/>
      <c r="E7754"/>
      <c r="F7754"/>
      <c r="G7754" s="20"/>
      <c r="H7754"/>
      <c r="I7754"/>
    </row>
    <row r="7755" spans="2:9" ht="15" x14ac:dyDescent="0.25">
      <c r="B7755"/>
      <c r="C7755"/>
      <c r="D7755"/>
      <c r="E7755"/>
      <c r="F7755"/>
      <c r="G7755" s="20"/>
      <c r="H7755"/>
      <c r="I7755"/>
    </row>
    <row r="7756" spans="2:9" ht="15" x14ac:dyDescent="0.25">
      <c r="B7756"/>
      <c r="C7756"/>
      <c r="D7756"/>
      <c r="E7756"/>
      <c r="F7756"/>
      <c r="G7756" s="20"/>
      <c r="H7756"/>
      <c r="I7756"/>
    </row>
    <row r="7757" spans="2:9" ht="15" x14ac:dyDescent="0.25">
      <c r="B7757"/>
      <c r="C7757"/>
      <c r="D7757"/>
      <c r="E7757"/>
      <c r="F7757"/>
      <c r="G7757" s="20"/>
      <c r="H7757"/>
      <c r="I7757"/>
    </row>
    <row r="7758" spans="2:9" ht="15" x14ac:dyDescent="0.25">
      <c r="B7758"/>
      <c r="C7758"/>
      <c r="D7758"/>
      <c r="E7758"/>
      <c r="F7758"/>
      <c r="G7758" s="20"/>
      <c r="H7758"/>
      <c r="I7758"/>
    </row>
    <row r="7759" spans="2:9" ht="15" x14ac:dyDescent="0.25">
      <c r="B7759"/>
      <c r="C7759"/>
      <c r="D7759"/>
      <c r="E7759"/>
      <c r="F7759"/>
      <c r="G7759" s="20"/>
      <c r="H7759"/>
      <c r="I7759"/>
    </row>
    <row r="7760" spans="2:9" ht="15" x14ac:dyDescent="0.25">
      <c r="B7760"/>
      <c r="C7760"/>
      <c r="D7760"/>
      <c r="E7760"/>
      <c r="F7760"/>
      <c r="G7760" s="20"/>
      <c r="H7760"/>
      <c r="I7760"/>
    </row>
    <row r="7761" spans="2:9" ht="15" x14ac:dyDescent="0.25">
      <c r="B7761"/>
      <c r="C7761"/>
      <c r="D7761"/>
      <c r="E7761"/>
      <c r="F7761"/>
      <c r="G7761" s="20"/>
      <c r="H7761"/>
      <c r="I7761"/>
    </row>
    <row r="7762" spans="2:9" ht="15" x14ac:dyDescent="0.25">
      <c r="B7762"/>
      <c r="C7762"/>
      <c r="D7762"/>
      <c r="E7762"/>
      <c r="F7762"/>
      <c r="G7762" s="20"/>
      <c r="H7762"/>
      <c r="I7762"/>
    </row>
    <row r="7763" spans="2:9" ht="15" x14ac:dyDescent="0.25">
      <c r="B7763"/>
      <c r="C7763"/>
      <c r="D7763"/>
      <c r="E7763"/>
      <c r="F7763"/>
      <c r="G7763" s="20"/>
      <c r="H7763"/>
      <c r="I7763"/>
    </row>
    <row r="7764" spans="2:9" ht="15" x14ac:dyDescent="0.25">
      <c r="B7764"/>
      <c r="C7764"/>
      <c r="D7764"/>
      <c r="E7764"/>
      <c r="F7764"/>
      <c r="G7764" s="20"/>
      <c r="H7764"/>
      <c r="I7764"/>
    </row>
    <row r="7765" spans="2:9" ht="15" x14ac:dyDescent="0.25">
      <c r="B7765"/>
      <c r="C7765"/>
      <c r="D7765"/>
      <c r="E7765"/>
      <c r="F7765"/>
      <c r="G7765" s="20"/>
      <c r="H7765"/>
      <c r="I7765"/>
    </row>
    <row r="7766" spans="2:9" ht="15" x14ac:dyDescent="0.25">
      <c r="B7766"/>
      <c r="C7766"/>
      <c r="D7766"/>
      <c r="E7766"/>
      <c r="F7766"/>
      <c r="G7766" s="20"/>
      <c r="H7766"/>
      <c r="I7766"/>
    </row>
    <row r="7767" spans="2:9" ht="15" x14ac:dyDescent="0.25">
      <c r="B7767"/>
      <c r="C7767"/>
      <c r="D7767"/>
      <c r="E7767"/>
      <c r="F7767"/>
      <c r="G7767" s="20"/>
      <c r="H7767"/>
      <c r="I7767"/>
    </row>
    <row r="7768" spans="2:9" ht="15" x14ac:dyDescent="0.25">
      <c r="B7768"/>
      <c r="C7768"/>
      <c r="D7768"/>
      <c r="E7768"/>
      <c r="F7768"/>
      <c r="G7768" s="20"/>
      <c r="H7768"/>
      <c r="I7768"/>
    </row>
    <row r="7769" spans="2:9" ht="15" x14ac:dyDescent="0.25">
      <c r="B7769"/>
      <c r="C7769"/>
      <c r="D7769"/>
      <c r="E7769"/>
      <c r="F7769"/>
      <c r="G7769" s="20"/>
      <c r="H7769"/>
      <c r="I7769"/>
    </row>
    <row r="7770" spans="2:9" ht="15" x14ac:dyDescent="0.25">
      <c r="B7770"/>
      <c r="C7770"/>
      <c r="D7770"/>
      <c r="E7770"/>
      <c r="F7770"/>
      <c r="G7770" s="20"/>
      <c r="H7770"/>
      <c r="I7770"/>
    </row>
    <row r="7771" spans="2:9" ht="15" x14ac:dyDescent="0.25">
      <c r="B7771"/>
      <c r="C7771"/>
      <c r="D7771"/>
      <c r="E7771"/>
      <c r="F7771"/>
      <c r="G7771" s="20"/>
      <c r="H7771"/>
      <c r="I7771"/>
    </row>
    <row r="7772" spans="2:9" ht="15" x14ac:dyDescent="0.25">
      <c r="B7772"/>
      <c r="C7772"/>
      <c r="D7772"/>
      <c r="E7772"/>
      <c r="F7772"/>
      <c r="G7772" s="20"/>
      <c r="H7772"/>
      <c r="I7772"/>
    </row>
    <row r="7773" spans="2:9" ht="15" x14ac:dyDescent="0.25">
      <c r="B7773"/>
      <c r="C7773"/>
      <c r="D7773"/>
      <c r="E7773"/>
      <c r="F7773"/>
      <c r="G7773" s="20"/>
      <c r="H7773"/>
      <c r="I7773"/>
    </row>
    <row r="7774" spans="2:9" ht="15" x14ac:dyDescent="0.25">
      <c r="B7774"/>
      <c r="C7774"/>
      <c r="D7774"/>
      <c r="E7774"/>
      <c r="F7774"/>
      <c r="G7774" s="20"/>
      <c r="H7774"/>
      <c r="I7774"/>
    </row>
    <row r="7775" spans="2:9" ht="15" x14ac:dyDescent="0.25">
      <c r="B7775"/>
      <c r="C7775"/>
      <c r="D7775"/>
      <c r="E7775"/>
      <c r="F7775"/>
      <c r="G7775" s="20"/>
      <c r="H7775"/>
      <c r="I7775"/>
    </row>
    <row r="7776" spans="2:9" ht="15" x14ac:dyDescent="0.25">
      <c r="B7776"/>
      <c r="C7776"/>
      <c r="D7776"/>
      <c r="E7776"/>
      <c r="F7776"/>
      <c r="G7776" s="20"/>
      <c r="H7776"/>
      <c r="I7776"/>
    </row>
    <row r="7777" spans="2:9" ht="15" x14ac:dyDescent="0.25">
      <c r="B7777"/>
      <c r="C7777"/>
      <c r="D7777"/>
      <c r="E7777"/>
      <c r="F7777"/>
      <c r="G7777" s="20"/>
      <c r="H7777"/>
      <c r="I7777"/>
    </row>
    <row r="7778" spans="2:9" ht="15" x14ac:dyDescent="0.25">
      <c r="B7778"/>
      <c r="C7778"/>
      <c r="D7778"/>
      <c r="E7778"/>
      <c r="F7778"/>
      <c r="G7778" s="20"/>
      <c r="H7778"/>
      <c r="I7778"/>
    </row>
    <row r="7779" spans="2:9" ht="15" x14ac:dyDescent="0.25">
      <c r="B7779"/>
      <c r="C7779"/>
      <c r="D7779"/>
      <c r="E7779"/>
      <c r="F7779"/>
      <c r="G7779" s="20"/>
      <c r="H7779"/>
      <c r="I7779"/>
    </row>
    <row r="7780" spans="2:9" ht="15" x14ac:dyDescent="0.25">
      <c r="B7780"/>
      <c r="C7780"/>
      <c r="D7780"/>
      <c r="E7780"/>
      <c r="F7780"/>
      <c r="G7780" s="20"/>
      <c r="H7780"/>
      <c r="I7780"/>
    </row>
    <row r="7781" spans="2:9" ht="15" x14ac:dyDescent="0.25">
      <c r="B7781"/>
      <c r="C7781"/>
      <c r="D7781"/>
      <c r="E7781"/>
      <c r="F7781"/>
      <c r="G7781" s="20"/>
      <c r="H7781"/>
      <c r="I7781"/>
    </row>
    <row r="7782" spans="2:9" ht="15" x14ac:dyDescent="0.25">
      <c r="B7782"/>
      <c r="C7782"/>
      <c r="D7782"/>
      <c r="E7782"/>
      <c r="F7782"/>
      <c r="G7782" s="20"/>
      <c r="H7782"/>
      <c r="I7782"/>
    </row>
    <row r="7783" spans="2:9" ht="15" x14ac:dyDescent="0.25">
      <c r="B7783"/>
      <c r="C7783"/>
      <c r="D7783"/>
      <c r="E7783"/>
      <c r="F7783"/>
      <c r="G7783" s="20"/>
      <c r="H7783"/>
      <c r="I7783"/>
    </row>
    <row r="7784" spans="2:9" ht="15" x14ac:dyDescent="0.25">
      <c r="B7784"/>
      <c r="C7784"/>
      <c r="D7784"/>
      <c r="E7784"/>
      <c r="F7784"/>
      <c r="G7784" s="20"/>
      <c r="H7784"/>
      <c r="I7784"/>
    </row>
    <row r="7785" spans="2:9" ht="15" x14ac:dyDescent="0.25">
      <c r="B7785"/>
      <c r="C7785"/>
      <c r="D7785"/>
      <c r="E7785"/>
      <c r="F7785"/>
      <c r="G7785" s="20"/>
      <c r="H7785"/>
      <c r="I7785"/>
    </row>
    <row r="7786" spans="2:9" ht="15" x14ac:dyDescent="0.25">
      <c r="B7786"/>
      <c r="C7786"/>
      <c r="D7786"/>
      <c r="E7786"/>
      <c r="F7786"/>
      <c r="G7786" s="20"/>
      <c r="H7786"/>
      <c r="I7786"/>
    </row>
    <row r="7787" spans="2:9" ht="15" x14ac:dyDescent="0.25">
      <c r="B7787"/>
      <c r="C7787"/>
      <c r="D7787"/>
      <c r="E7787"/>
      <c r="F7787"/>
      <c r="G7787" s="20"/>
      <c r="H7787"/>
      <c r="I7787"/>
    </row>
    <row r="7788" spans="2:9" ht="15" x14ac:dyDescent="0.25">
      <c r="B7788"/>
      <c r="C7788"/>
      <c r="D7788"/>
      <c r="E7788"/>
      <c r="F7788"/>
      <c r="G7788" s="20"/>
      <c r="H7788"/>
      <c r="I7788"/>
    </row>
    <row r="7789" spans="2:9" ht="15" x14ac:dyDescent="0.25">
      <c r="B7789"/>
      <c r="C7789"/>
      <c r="D7789"/>
      <c r="E7789"/>
      <c r="F7789"/>
      <c r="G7789" s="20"/>
      <c r="H7789"/>
      <c r="I7789"/>
    </row>
    <row r="7790" spans="2:9" ht="15" x14ac:dyDescent="0.25">
      <c r="B7790"/>
      <c r="C7790"/>
      <c r="D7790"/>
      <c r="E7790"/>
      <c r="F7790"/>
      <c r="G7790" s="20"/>
      <c r="H7790"/>
      <c r="I7790"/>
    </row>
    <row r="7791" spans="2:9" ht="15" x14ac:dyDescent="0.25">
      <c r="B7791"/>
      <c r="C7791"/>
      <c r="D7791"/>
      <c r="E7791"/>
      <c r="F7791"/>
      <c r="G7791" s="20"/>
      <c r="H7791"/>
      <c r="I7791"/>
    </row>
    <row r="7792" spans="2:9" ht="15" x14ac:dyDescent="0.25">
      <c r="B7792"/>
      <c r="C7792"/>
      <c r="D7792"/>
      <c r="E7792"/>
      <c r="F7792"/>
      <c r="G7792" s="20"/>
      <c r="H7792"/>
      <c r="I7792"/>
    </row>
    <row r="7793" spans="2:9" ht="15" x14ac:dyDescent="0.25">
      <c r="B7793"/>
      <c r="C7793"/>
      <c r="D7793"/>
      <c r="E7793"/>
      <c r="F7793"/>
      <c r="G7793" s="20"/>
      <c r="H7793"/>
      <c r="I7793"/>
    </row>
    <row r="7794" spans="2:9" ht="15" x14ac:dyDescent="0.25">
      <c r="B7794"/>
      <c r="C7794"/>
      <c r="D7794"/>
      <c r="E7794"/>
      <c r="F7794"/>
      <c r="G7794" s="20"/>
      <c r="H7794"/>
      <c r="I7794"/>
    </row>
    <row r="7795" spans="2:9" ht="15" x14ac:dyDescent="0.25">
      <c r="B7795"/>
      <c r="C7795"/>
      <c r="D7795"/>
      <c r="E7795"/>
      <c r="F7795"/>
      <c r="G7795" s="20"/>
      <c r="H7795"/>
      <c r="I7795"/>
    </row>
    <row r="7796" spans="2:9" ht="15" x14ac:dyDescent="0.25">
      <c r="B7796"/>
      <c r="C7796"/>
      <c r="D7796"/>
      <c r="E7796"/>
      <c r="F7796"/>
      <c r="G7796" s="20"/>
      <c r="H7796"/>
      <c r="I7796"/>
    </row>
    <row r="7797" spans="2:9" ht="15" x14ac:dyDescent="0.25">
      <c r="B7797"/>
      <c r="C7797"/>
      <c r="D7797"/>
      <c r="E7797"/>
      <c r="F7797"/>
      <c r="G7797" s="20"/>
      <c r="H7797"/>
      <c r="I7797"/>
    </row>
    <row r="7798" spans="2:9" ht="15" x14ac:dyDescent="0.25">
      <c r="B7798"/>
      <c r="C7798"/>
      <c r="D7798"/>
      <c r="E7798"/>
      <c r="F7798"/>
      <c r="G7798" s="20"/>
      <c r="H7798"/>
      <c r="I7798"/>
    </row>
    <row r="7799" spans="2:9" ht="15" x14ac:dyDescent="0.25">
      <c r="B7799"/>
      <c r="C7799"/>
      <c r="D7799"/>
      <c r="E7799"/>
      <c r="F7799"/>
      <c r="G7799" s="20"/>
      <c r="H7799"/>
      <c r="I7799"/>
    </row>
    <row r="7800" spans="2:9" ht="15" x14ac:dyDescent="0.25">
      <c r="B7800"/>
      <c r="C7800"/>
      <c r="D7800"/>
      <c r="E7800"/>
      <c r="F7800"/>
      <c r="G7800" s="20"/>
      <c r="H7800"/>
      <c r="I7800"/>
    </row>
    <row r="7801" spans="2:9" ht="15" x14ac:dyDescent="0.25">
      <c r="B7801"/>
      <c r="C7801"/>
      <c r="D7801"/>
      <c r="E7801"/>
      <c r="F7801"/>
      <c r="G7801" s="20"/>
      <c r="H7801"/>
      <c r="I7801"/>
    </row>
    <row r="7802" spans="2:9" ht="15" x14ac:dyDescent="0.25">
      <c r="B7802"/>
      <c r="C7802"/>
      <c r="D7802"/>
      <c r="E7802"/>
      <c r="F7802"/>
      <c r="G7802" s="20"/>
      <c r="H7802"/>
      <c r="I7802"/>
    </row>
    <row r="7803" spans="2:9" ht="15" x14ac:dyDescent="0.25">
      <c r="B7803"/>
      <c r="C7803"/>
      <c r="D7803"/>
      <c r="E7803"/>
      <c r="F7803"/>
      <c r="G7803" s="20"/>
      <c r="H7803"/>
      <c r="I7803"/>
    </row>
    <row r="7804" spans="2:9" ht="15" x14ac:dyDescent="0.25">
      <c r="B7804"/>
      <c r="C7804"/>
      <c r="D7804"/>
      <c r="E7804"/>
      <c r="F7804"/>
      <c r="G7804" s="20"/>
      <c r="H7804"/>
      <c r="I7804"/>
    </row>
    <row r="7805" spans="2:9" ht="15" x14ac:dyDescent="0.25">
      <c r="B7805"/>
      <c r="C7805"/>
      <c r="D7805"/>
      <c r="E7805"/>
      <c r="F7805"/>
      <c r="G7805" s="20"/>
      <c r="H7805"/>
      <c r="I7805"/>
    </row>
    <row r="7806" spans="2:9" ht="15" x14ac:dyDescent="0.25">
      <c r="B7806"/>
      <c r="C7806"/>
      <c r="D7806"/>
      <c r="E7806"/>
      <c r="F7806"/>
      <c r="G7806" s="20"/>
      <c r="H7806"/>
      <c r="I7806"/>
    </row>
    <row r="7807" spans="2:9" ht="15" x14ac:dyDescent="0.25">
      <c r="B7807"/>
      <c r="C7807"/>
      <c r="D7807"/>
      <c r="E7807"/>
      <c r="F7807"/>
      <c r="G7807" s="20"/>
      <c r="H7807"/>
      <c r="I7807"/>
    </row>
    <row r="7808" spans="2:9" ht="15" x14ac:dyDescent="0.25">
      <c r="B7808"/>
      <c r="C7808"/>
      <c r="D7808"/>
      <c r="E7808"/>
      <c r="F7808"/>
      <c r="G7808" s="20"/>
      <c r="H7808"/>
      <c r="I7808"/>
    </row>
    <row r="7809" spans="2:9" ht="15" x14ac:dyDescent="0.25">
      <c r="B7809"/>
      <c r="C7809"/>
      <c r="D7809"/>
      <c r="E7809"/>
      <c r="F7809"/>
      <c r="G7809" s="20"/>
      <c r="H7809"/>
      <c r="I7809"/>
    </row>
    <row r="7810" spans="2:9" ht="15" x14ac:dyDescent="0.25">
      <c r="B7810"/>
      <c r="C7810"/>
      <c r="D7810"/>
      <c r="E7810"/>
      <c r="F7810"/>
      <c r="G7810" s="20"/>
      <c r="H7810"/>
      <c r="I7810"/>
    </row>
    <row r="7811" spans="2:9" ht="15" x14ac:dyDescent="0.25">
      <c r="B7811"/>
      <c r="C7811"/>
      <c r="D7811"/>
      <c r="E7811"/>
      <c r="F7811"/>
      <c r="G7811" s="20"/>
      <c r="H7811"/>
      <c r="I7811"/>
    </row>
    <row r="7812" spans="2:9" ht="15" x14ac:dyDescent="0.25">
      <c r="B7812"/>
      <c r="C7812"/>
      <c r="D7812"/>
      <c r="E7812"/>
      <c r="F7812"/>
      <c r="G7812" s="20"/>
      <c r="H7812"/>
      <c r="I7812"/>
    </row>
    <row r="7813" spans="2:9" ht="15" x14ac:dyDescent="0.25">
      <c r="B7813"/>
      <c r="C7813"/>
      <c r="D7813"/>
      <c r="E7813"/>
      <c r="F7813"/>
      <c r="G7813" s="20"/>
      <c r="H7813"/>
      <c r="I7813"/>
    </row>
    <row r="7814" spans="2:9" ht="15" x14ac:dyDescent="0.25">
      <c r="B7814"/>
      <c r="C7814"/>
      <c r="D7814"/>
      <c r="E7814"/>
      <c r="F7814"/>
      <c r="G7814" s="20"/>
      <c r="H7814"/>
      <c r="I7814"/>
    </row>
    <row r="7815" spans="2:9" ht="15" x14ac:dyDescent="0.25">
      <c r="B7815"/>
      <c r="C7815"/>
      <c r="D7815"/>
      <c r="E7815"/>
      <c r="F7815"/>
      <c r="G7815" s="20"/>
      <c r="H7815"/>
      <c r="I7815"/>
    </row>
    <row r="7816" spans="2:9" ht="15" x14ac:dyDescent="0.25">
      <c r="B7816"/>
      <c r="C7816"/>
      <c r="D7816"/>
      <c r="E7816"/>
      <c r="F7816"/>
      <c r="G7816" s="20"/>
      <c r="H7816"/>
      <c r="I7816"/>
    </row>
    <row r="7817" spans="2:9" ht="15" x14ac:dyDescent="0.25">
      <c r="B7817"/>
      <c r="C7817"/>
      <c r="D7817"/>
      <c r="E7817"/>
      <c r="F7817"/>
      <c r="G7817" s="20"/>
      <c r="H7817"/>
      <c r="I7817"/>
    </row>
    <row r="7818" spans="2:9" ht="15" x14ac:dyDescent="0.25">
      <c r="B7818"/>
      <c r="C7818"/>
      <c r="D7818"/>
      <c r="E7818"/>
      <c r="F7818"/>
      <c r="G7818" s="20"/>
      <c r="H7818"/>
      <c r="I7818"/>
    </row>
    <row r="7819" spans="2:9" ht="15" x14ac:dyDescent="0.25">
      <c r="B7819"/>
      <c r="C7819"/>
      <c r="D7819"/>
      <c r="E7819"/>
      <c r="F7819"/>
      <c r="G7819" s="20"/>
      <c r="H7819"/>
      <c r="I7819"/>
    </row>
    <row r="7820" spans="2:9" ht="15" x14ac:dyDescent="0.25">
      <c r="B7820"/>
      <c r="C7820"/>
      <c r="D7820"/>
      <c r="E7820"/>
      <c r="F7820"/>
      <c r="G7820" s="20"/>
      <c r="H7820"/>
      <c r="I7820"/>
    </row>
    <row r="7821" spans="2:9" ht="15" x14ac:dyDescent="0.25">
      <c r="B7821"/>
      <c r="C7821"/>
      <c r="D7821"/>
      <c r="E7821"/>
      <c r="F7821"/>
      <c r="G7821" s="20"/>
      <c r="H7821"/>
      <c r="I7821"/>
    </row>
    <row r="7822" spans="2:9" ht="15" x14ac:dyDescent="0.25">
      <c r="B7822"/>
      <c r="C7822"/>
      <c r="D7822"/>
      <c r="E7822"/>
      <c r="F7822"/>
      <c r="G7822" s="20"/>
      <c r="H7822"/>
      <c r="I7822"/>
    </row>
    <row r="7823" spans="2:9" ht="15" x14ac:dyDescent="0.25">
      <c r="B7823"/>
      <c r="C7823"/>
      <c r="D7823"/>
      <c r="E7823"/>
      <c r="F7823"/>
      <c r="G7823" s="20"/>
      <c r="H7823"/>
      <c r="I7823"/>
    </row>
    <row r="7824" spans="2:9" ht="15" x14ac:dyDescent="0.25">
      <c r="B7824"/>
      <c r="C7824"/>
      <c r="D7824"/>
      <c r="E7824"/>
      <c r="F7824"/>
      <c r="G7824" s="20"/>
      <c r="H7824"/>
      <c r="I7824"/>
    </row>
    <row r="7825" spans="2:9" ht="15" x14ac:dyDescent="0.25">
      <c r="B7825"/>
      <c r="C7825"/>
      <c r="D7825"/>
      <c r="E7825"/>
      <c r="F7825"/>
      <c r="G7825" s="20"/>
      <c r="H7825"/>
      <c r="I7825"/>
    </row>
    <row r="7826" spans="2:9" ht="15" x14ac:dyDescent="0.25">
      <c r="B7826"/>
      <c r="C7826"/>
      <c r="D7826"/>
      <c r="E7826"/>
      <c r="F7826"/>
      <c r="G7826" s="20"/>
      <c r="H7826"/>
      <c r="I7826"/>
    </row>
    <row r="7827" spans="2:9" ht="15" x14ac:dyDescent="0.25">
      <c r="B7827"/>
      <c r="C7827"/>
      <c r="D7827"/>
      <c r="E7827"/>
      <c r="F7827"/>
      <c r="G7827" s="20"/>
      <c r="H7827"/>
      <c r="I7827"/>
    </row>
    <row r="7828" spans="2:9" ht="15" x14ac:dyDescent="0.25">
      <c r="B7828"/>
      <c r="C7828"/>
      <c r="D7828"/>
      <c r="E7828"/>
      <c r="F7828"/>
      <c r="G7828" s="20"/>
      <c r="H7828"/>
      <c r="I7828"/>
    </row>
    <row r="7829" spans="2:9" ht="15" x14ac:dyDescent="0.25">
      <c r="B7829"/>
      <c r="C7829"/>
      <c r="D7829"/>
      <c r="E7829"/>
      <c r="F7829"/>
      <c r="G7829" s="20"/>
      <c r="H7829"/>
      <c r="I7829"/>
    </row>
    <row r="7830" spans="2:9" ht="15" x14ac:dyDescent="0.25">
      <c r="B7830"/>
      <c r="C7830"/>
      <c r="D7830"/>
      <c r="E7830"/>
      <c r="F7830"/>
      <c r="G7830" s="20"/>
      <c r="H7830"/>
      <c r="I7830"/>
    </row>
    <row r="7831" spans="2:9" ht="15" x14ac:dyDescent="0.25">
      <c r="B7831"/>
      <c r="C7831"/>
      <c r="D7831"/>
      <c r="E7831"/>
      <c r="F7831"/>
      <c r="G7831" s="20"/>
      <c r="H7831"/>
      <c r="I7831"/>
    </row>
    <row r="7832" spans="2:9" ht="15" x14ac:dyDescent="0.25">
      <c r="B7832"/>
      <c r="C7832"/>
      <c r="D7832"/>
      <c r="E7832"/>
      <c r="F7832"/>
      <c r="G7832" s="20"/>
      <c r="H7832"/>
      <c r="I7832"/>
    </row>
    <row r="7833" spans="2:9" ht="15" x14ac:dyDescent="0.25">
      <c r="B7833"/>
      <c r="C7833"/>
      <c r="D7833"/>
      <c r="E7833"/>
      <c r="F7833"/>
      <c r="G7833" s="20"/>
      <c r="H7833"/>
      <c r="I7833"/>
    </row>
    <row r="7834" spans="2:9" ht="15" x14ac:dyDescent="0.25">
      <c r="B7834"/>
      <c r="C7834"/>
      <c r="D7834"/>
      <c r="E7834"/>
      <c r="F7834"/>
      <c r="G7834" s="20"/>
      <c r="H7834"/>
      <c r="I7834"/>
    </row>
    <row r="7835" spans="2:9" ht="15" x14ac:dyDescent="0.25">
      <c r="B7835"/>
      <c r="C7835"/>
      <c r="D7835"/>
      <c r="E7835"/>
      <c r="F7835"/>
      <c r="G7835" s="20"/>
      <c r="H7835"/>
      <c r="I7835"/>
    </row>
    <row r="7836" spans="2:9" ht="15" x14ac:dyDescent="0.25">
      <c r="B7836"/>
      <c r="C7836"/>
      <c r="D7836"/>
      <c r="E7836"/>
      <c r="F7836"/>
      <c r="G7836" s="20"/>
      <c r="H7836"/>
      <c r="I7836"/>
    </row>
    <row r="7837" spans="2:9" ht="15" x14ac:dyDescent="0.25">
      <c r="B7837"/>
      <c r="C7837"/>
      <c r="D7837"/>
      <c r="E7837"/>
      <c r="F7837"/>
      <c r="G7837" s="20"/>
      <c r="H7837"/>
      <c r="I7837"/>
    </row>
    <row r="7838" spans="2:9" ht="15" x14ac:dyDescent="0.25">
      <c r="B7838"/>
      <c r="C7838"/>
      <c r="D7838"/>
      <c r="E7838"/>
      <c r="F7838"/>
      <c r="G7838" s="20"/>
      <c r="H7838"/>
      <c r="I7838"/>
    </row>
    <row r="7839" spans="2:9" ht="15" x14ac:dyDescent="0.25">
      <c r="B7839"/>
      <c r="C7839"/>
      <c r="D7839"/>
      <c r="E7839"/>
      <c r="F7839"/>
      <c r="G7839" s="20"/>
      <c r="H7839"/>
      <c r="I7839"/>
    </row>
    <row r="7840" spans="2:9" ht="15" x14ac:dyDescent="0.25">
      <c r="B7840"/>
      <c r="C7840"/>
      <c r="D7840"/>
      <c r="E7840"/>
      <c r="F7840"/>
      <c r="G7840" s="20"/>
      <c r="H7840"/>
      <c r="I7840"/>
    </row>
    <row r="7841" spans="2:9" ht="15" x14ac:dyDescent="0.25">
      <c r="B7841"/>
      <c r="C7841"/>
      <c r="D7841"/>
      <c r="E7841"/>
      <c r="F7841"/>
      <c r="G7841" s="20"/>
      <c r="H7841"/>
      <c r="I7841"/>
    </row>
    <row r="7842" spans="2:9" ht="15" x14ac:dyDescent="0.25">
      <c r="B7842"/>
      <c r="C7842"/>
      <c r="D7842"/>
      <c r="E7842"/>
      <c r="F7842"/>
      <c r="G7842" s="20"/>
      <c r="H7842"/>
      <c r="I7842"/>
    </row>
    <row r="7843" spans="2:9" ht="15" x14ac:dyDescent="0.25">
      <c r="B7843"/>
      <c r="C7843"/>
      <c r="D7843"/>
      <c r="E7843"/>
      <c r="F7843"/>
      <c r="G7843" s="20"/>
      <c r="H7843"/>
      <c r="I7843"/>
    </row>
    <row r="7844" spans="2:9" ht="15" x14ac:dyDescent="0.25">
      <c r="B7844"/>
      <c r="C7844"/>
      <c r="D7844"/>
      <c r="E7844"/>
      <c r="F7844"/>
      <c r="G7844" s="20"/>
      <c r="H7844"/>
      <c r="I7844"/>
    </row>
    <row r="7845" spans="2:9" ht="15" x14ac:dyDescent="0.25">
      <c r="B7845"/>
      <c r="C7845"/>
      <c r="D7845"/>
      <c r="E7845"/>
      <c r="F7845"/>
      <c r="G7845" s="20"/>
      <c r="H7845"/>
      <c r="I7845"/>
    </row>
    <row r="7846" spans="2:9" ht="15" x14ac:dyDescent="0.25">
      <c r="B7846"/>
      <c r="C7846"/>
      <c r="D7846"/>
      <c r="E7846"/>
      <c r="F7846"/>
      <c r="G7846" s="20"/>
      <c r="H7846"/>
      <c r="I7846"/>
    </row>
    <row r="7847" spans="2:9" ht="15" x14ac:dyDescent="0.25">
      <c r="B7847"/>
      <c r="C7847"/>
      <c r="D7847"/>
      <c r="E7847"/>
      <c r="F7847"/>
      <c r="G7847" s="20"/>
      <c r="H7847"/>
      <c r="I7847"/>
    </row>
    <row r="7848" spans="2:9" ht="15" x14ac:dyDescent="0.25">
      <c r="B7848"/>
      <c r="C7848"/>
      <c r="D7848"/>
      <c r="E7848"/>
      <c r="F7848"/>
      <c r="G7848" s="20"/>
      <c r="H7848"/>
      <c r="I7848"/>
    </row>
    <row r="7849" spans="2:9" ht="15" x14ac:dyDescent="0.25">
      <c r="B7849"/>
      <c r="C7849"/>
      <c r="D7849"/>
      <c r="E7849"/>
      <c r="F7849"/>
      <c r="G7849" s="20"/>
      <c r="H7849"/>
      <c r="I7849"/>
    </row>
    <row r="7850" spans="2:9" ht="15" x14ac:dyDescent="0.25">
      <c r="B7850"/>
      <c r="C7850"/>
      <c r="D7850"/>
      <c r="E7850"/>
      <c r="F7850"/>
      <c r="G7850" s="20"/>
      <c r="H7850"/>
      <c r="I7850"/>
    </row>
    <row r="7851" spans="2:9" ht="15" x14ac:dyDescent="0.25">
      <c r="B7851"/>
      <c r="C7851"/>
      <c r="D7851"/>
      <c r="E7851"/>
      <c r="F7851"/>
      <c r="G7851" s="20"/>
      <c r="H7851"/>
      <c r="I7851"/>
    </row>
    <row r="7852" spans="2:9" ht="15" x14ac:dyDescent="0.25">
      <c r="B7852"/>
      <c r="C7852"/>
      <c r="D7852"/>
      <c r="E7852"/>
      <c r="F7852"/>
      <c r="G7852" s="20"/>
      <c r="H7852"/>
      <c r="I7852"/>
    </row>
    <row r="7853" spans="2:9" ht="15" x14ac:dyDescent="0.25">
      <c r="B7853"/>
      <c r="C7853"/>
      <c r="D7853"/>
      <c r="E7853"/>
      <c r="F7853"/>
      <c r="G7853" s="20"/>
      <c r="H7853"/>
      <c r="I7853"/>
    </row>
    <row r="7854" spans="2:9" ht="15" x14ac:dyDescent="0.25">
      <c r="B7854"/>
      <c r="C7854"/>
      <c r="D7854"/>
      <c r="E7854"/>
      <c r="F7854"/>
      <c r="G7854" s="20"/>
      <c r="H7854"/>
      <c r="I7854"/>
    </row>
    <row r="7855" spans="2:9" ht="15" x14ac:dyDescent="0.25">
      <c r="B7855"/>
      <c r="C7855"/>
      <c r="D7855"/>
      <c r="E7855"/>
      <c r="F7855"/>
      <c r="G7855" s="20"/>
      <c r="H7855"/>
      <c r="I7855"/>
    </row>
    <row r="7856" spans="2:9" ht="15" x14ac:dyDescent="0.25">
      <c r="B7856"/>
      <c r="C7856"/>
      <c r="D7856"/>
      <c r="E7856"/>
      <c r="F7856"/>
      <c r="G7856" s="20"/>
      <c r="H7856"/>
      <c r="I7856"/>
    </row>
    <row r="7857" spans="2:9" ht="15" x14ac:dyDescent="0.25">
      <c r="B7857"/>
      <c r="C7857"/>
      <c r="D7857"/>
      <c r="E7857"/>
      <c r="F7857"/>
      <c r="G7857" s="20"/>
      <c r="H7857"/>
      <c r="I7857"/>
    </row>
    <row r="7858" spans="2:9" ht="15" x14ac:dyDescent="0.25">
      <c r="B7858"/>
      <c r="C7858"/>
      <c r="D7858"/>
      <c r="E7858"/>
      <c r="F7858"/>
      <c r="G7858" s="20"/>
      <c r="H7858"/>
      <c r="I7858"/>
    </row>
    <row r="7859" spans="2:9" ht="15" x14ac:dyDescent="0.25">
      <c r="B7859"/>
      <c r="C7859"/>
      <c r="D7859"/>
      <c r="E7859"/>
      <c r="F7859"/>
      <c r="G7859" s="20"/>
      <c r="H7859"/>
      <c r="I7859"/>
    </row>
    <row r="7860" spans="2:9" ht="15" x14ac:dyDescent="0.25">
      <c r="B7860"/>
      <c r="C7860"/>
      <c r="D7860"/>
      <c r="E7860"/>
      <c r="F7860"/>
      <c r="G7860" s="20"/>
      <c r="H7860"/>
      <c r="I7860"/>
    </row>
    <row r="7861" spans="2:9" ht="15" x14ac:dyDescent="0.25">
      <c r="B7861"/>
      <c r="C7861"/>
      <c r="D7861"/>
      <c r="E7861"/>
      <c r="F7861"/>
      <c r="G7861" s="20"/>
      <c r="H7861"/>
      <c r="I7861"/>
    </row>
    <row r="7862" spans="2:9" ht="15" x14ac:dyDescent="0.25">
      <c r="B7862"/>
      <c r="C7862"/>
      <c r="D7862"/>
      <c r="E7862"/>
      <c r="F7862"/>
      <c r="G7862" s="20"/>
      <c r="H7862"/>
      <c r="I7862"/>
    </row>
    <row r="7863" spans="2:9" ht="15" x14ac:dyDescent="0.25">
      <c r="B7863"/>
      <c r="C7863"/>
      <c r="D7863"/>
      <c r="E7863"/>
      <c r="F7863"/>
      <c r="G7863" s="20"/>
      <c r="H7863"/>
      <c r="I7863"/>
    </row>
    <row r="7864" spans="2:9" ht="15" x14ac:dyDescent="0.25">
      <c r="B7864"/>
      <c r="C7864"/>
      <c r="D7864"/>
      <c r="E7864"/>
      <c r="F7864"/>
      <c r="G7864" s="20"/>
      <c r="H7864"/>
      <c r="I7864"/>
    </row>
    <row r="7865" spans="2:9" ht="15" x14ac:dyDescent="0.25">
      <c r="B7865"/>
      <c r="C7865"/>
      <c r="D7865"/>
      <c r="E7865"/>
      <c r="F7865"/>
      <c r="G7865" s="20"/>
      <c r="H7865"/>
      <c r="I7865"/>
    </row>
    <row r="7866" spans="2:9" ht="15" x14ac:dyDescent="0.25">
      <c r="B7866"/>
      <c r="C7866"/>
      <c r="D7866"/>
      <c r="E7866"/>
      <c r="F7866"/>
      <c r="G7866" s="20"/>
      <c r="H7866"/>
      <c r="I7866"/>
    </row>
    <row r="7867" spans="2:9" ht="15" x14ac:dyDescent="0.25">
      <c r="B7867"/>
      <c r="C7867"/>
      <c r="D7867"/>
      <c r="E7867"/>
      <c r="F7867"/>
      <c r="G7867" s="20"/>
      <c r="H7867"/>
      <c r="I7867"/>
    </row>
    <row r="7868" spans="2:9" ht="15" x14ac:dyDescent="0.25">
      <c r="B7868"/>
      <c r="C7868"/>
      <c r="D7868"/>
      <c r="E7868"/>
      <c r="F7868"/>
      <c r="G7868" s="20"/>
      <c r="H7868"/>
      <c r="I7868"/>
    </row>
    <row r="7869" spans="2:9" ht="15" x14ac:dyDescent="0.25">
      <c r="B7869"/>
      <c r="C7869"/>
      <c r="D7869"/>
      <c r="E7869"/>
      <c r="F7869"/>
      <c r="G7869" s="20"/>
      <c r="H7869"/>
      <c r="I7869"/>
    </row>
    <row r="7870" spans="2:9" ht="15" x14ac:dyDescent="0.25">
      <c r="B7870"/>
      <c r="C7870"/>
      <c r="D7870"/>
      <c r="E7870"/>
      <c r="F7870"/>
      <c r="G7870" s="20"/>
      <c r="H7870"/>
      <c r="I7870"/>
    </row>
    <row r="7871" spans="2:9" ht="15" x14ac:dyDescent="0.25">
      <c r="B7871"/>
      <c r="C7871"/>
      <c r="D7871"/>
      <c r="E7871"/>
      <c r="F7871"/>
      <c r="G7871" s="20"/>
      <c r="H7871"/>
      <c r="I7871"/>
    </row>
    <row r="7872" spans="2:9" ht="15" x14ac:dyDescent="0.25">
      <c r="B7872"/>
      <c r="C7872"/>
      <c r="D7872"/>
      <c r="E7872"/>
      <c r="F7872"/>
      <c r="G7872" s="20"/>
      <c r="H7872"/>
      <c r="I7872"/>
    </row>
    <row r="7873" spans="2:9" ht="15" x14ac:dyDescent="0.25">
      <c r="B7873"/>
      <c r="C7873"/>
      <c r="D7873"/>
      <c r="E7873"/>
      <c r="F7873"/>
      <c r="G7873" s="20"/>
      <c r="H7873"/>
      <c r="I7873"/>
    </row>
    <row r="7874" spans="2:9" ht="15" x14ac:dyDescent="0.25">
      <c r="B7874"/>
      <c r="C7874"/>
      <c r="D7874"/>
      <c r="E7874"/>
      <c r="F7874"/>
      <c r="G7874" s="20"/>
      <c r="H7874"/>
      <c r="I7874"/>
    </row>
    <row r="7875" spans="2:9" ht="15" x14ac:dyDescent="0.25">
      <c r="B7875"/>
      <c r="C7875"/>
      <c r="D7875"/>
      <c r="E7875"/>
      <c r="F7875"/>
      <c r="G7875" s="20"/>
      <c r="H7875"/>
      <c r="I7875"/>
    </row>
    <row r="7876" spans="2:9" ht="15" x14ac:dyDescent="0.25">
      <c r="B7876"/>
      <c r="C7876"/>
      <c r="D7876"/>
      <c r="E7876"/>
      <c r="F7876"/>
      <c r="G7876" s="20"/>
      <c r="H7876"/>
      <c r="I7876"/>
    </row>
    <row r="7877" spans="2:9" ht="15" x14ac:dyDescent="0.25">
      <c r="B7877"/>
      <c r="C7877"/>
      <c r="D7877"/>
      <c r="E7877"/>
      <c r="F7877"/>
      <c r="G7877" s="20"/>
      <c r="H7877"/>
      <c r="I7877"/>
    </row>
    <row r="7878" spans="2:9" ht="15" x14ac:dyDescent="0.25">
      <c r="B7878"/>
      <c r="C7878"/>
      <c r="D7878"/>
      <c r="E7878"/>
      <c r="F7878"/>
      <c r="G7878" s="20"/>
      <c r="H7878"/>
      <c r="I7878"/>
    </row>
    <row r="7879" spans="2:9" ht="15" x14ac:dyDescent="0.25">
      <c r="B7879"/>
      <c r="C7879"/>
      <c r="D7879"/>
      <c r="E7879"/>
      <c r="F7879"/>
      <c r="G7879" s="20"/>
      <c r="H7879"/>
      <c r="I7879"/>
    </row>
    <row r="7880" spans="2:9" ht="15" x14ac:dyDescent="0.25">
      <c r="B7880"/>
      <c r="C7880"/>
      <c r="D7880"/>
      <c r="E7880"/>
      <c r="F7880"/>
      <c r="G7880" s="20"/>
      <c r="H7880"/>
      <c r="I7880"/>
    </row>
    <row r="7881" spans="2:9" ht="15" x14ac:dyDescent="0.25">
      <c r="B7881"/>
      <c r="C7881"/>
      <c r="D7881"/>
      <c r="E7881"/>
      <c r="F7881"/>
      <c r="G7881" s="20"/>
      <c r="H7881"/>
      <c r="I7881"/>
    </row>
    <row r="7882" spans="2:9" ht="15" x14ac:dyDescent="0.25">
      <c r="B7882"/>
      <c r="C7882"/>
      <c r="D7882"/>
      <c r="E7882"/>
      <c r="F7882"/>
      <c r="G7882" s="20"/>
      <c r="H7882"/>
      <c r="I7882"/>
    </row>
    <row r="7883" spans="2:9" ht="15" x14ac:dyDescent="0.25">
      <c r="B7883"/>
      <c r="C7883"/>
      <c r="D7883"/>
      <c r="E7883"/>
      <c r="F7883"/>
      <c r="G7883" s="20"/>
      <c r="H7883"/>
      <c r="I7883"/>
    </row>
    <row r="7884" spans="2:9" ht="15" x14ac:dyDescent="0.25">
      <c r="B7884"/>
      <c r="C7884"/>
      <c r="D7884"/>
      <c r="E7884"/>
      <c r="F7884"/>
      <c r="G7884" s="20"/>
      <c r="H7884"/>
      <c r="I7884"/>
    </row>
    <row r="7885" spans="2:9" ht="15" x14ac:dyDescent="0.25">
      <c r="B7885"/>
      <c r="C7885"/>
      <c r="D7885"/>
      <c r="E7885"/>
      <c r="F7885"/>
      <c r="G7885" s="20"/>
      <c r="H7885"/>
      <c r="I7885"/>
    </row>
    <row r="7886" spans="2:9" ht="15" x14ac:dyDescent="0.25">
      <c r="B7886"/>
      <c r="C7886"/>
      <c r="D7886"/>
      <c r="E7886"/>
      <c r="F7886"/>
      <c r="G7886" s="20"/>
      <c r="H7886"/>
      <c r="I7886"/>
    </row>
    <row r="7887" spans="2:9" ht="15" x14ac:dyDescent="0.25">
      <c r="B7887"/>
      <c r="C7887"/>
      <c r="D7887"/>
      <c r="E7887"/>
      <c r="F7887"/>
      <c r="G7887" s="20"/>
      <c r="H7887"/>
      <c r="I7887"/>
    </row>
    <row r="7888" spans="2:9" ht="15" x14ac:dyDescent="0.25">
      <c r="B7888"/>
      <c r="C7888"/>
      <c r="D7888"/>
      <c r="E7888"/>
      <c r="F7888"/>
      <c r="G7888" s="20"/>
      <c r="H7888"/>
      <c r="I7888"/>
    </row>
    <row r="7889" spans="2:9" ht="15" x14ac:dyDescent="0.25">
      <c r="B7889"/>
      <c r="C7889"/>
      <c r="D7889"/>
      <c r="E7889"/>
      <c r="F7889"/>
      <c r="G7889" s="20"/>
      <c r="H7889"/>
      <c r="I7889"/>
    </row>
    <row r="7890" spans="2:9" ht="15" x14ac:dyDescent="0.25">
      <c r="B7890"/>
      <c r="C7890"/>
      <c r="D7890"/>
      <c r="E7890"/>
      <c r="F7890"/>
      <c r="G7890" s="20"/>
      <c r="H7890"/>
      <c r="I7890"/>
    </row>
    <row r="7891" spans="2:9" ht="15" x14ac:dyDescent="0.25">
      <c r="B7891"/>
      <c r="C7891"/>
      <c r="D7891"/>
      <c r="E7891"/>
      <c r="F7891"/>
      <c r="G7891" s="20"/>
      <c r="H7891"/>
      <c r="I7891"/>
    </row>
    <row r="7892" spans="2:9" ht="15" x14ac:dyDescent="0.25">
      <c r="B7892"/>
      <c r="C7892"/>
      <c r="D7892"/>
      <c r="E7892"/>
      <c r="F7892"/>
      <c r="G7892" s="20"/>
      <c r="H7892"/>
      <c r="I7892"/>
    </row>
    <row r="7893" spans="2:9" ht="15" x14ac:dyDescent="0.25">
      <c r="B7893"/>
      <c r="C7893"/>
      <c r="D7893"/>
      <c r="E7893"/>
      <c r="F7893"/>
      <c r="G7893" s="20"/>
      <c r="H7893"/>
      <c r="I7893"/>
    </row>
    <row r="7894" spans="2:9" ht="15" x14ac:dyDescent="0.25">
      <c r="B7894"/>
      <c r="C7894"/>
      <c r="D7894"/>
      <c r="E7894"/>
      <c r="F7894"/>
      <c r="G7894" s="20"/>
      <c r="H7894"/>
      <c r="I7894"/>
    </row>
    <row r="7895" spans="2:9" ht="15" x14ac:dyDescent="0.25">
      <c r="B7895"/>
      <c r="C7895"/>
      <c r="D7895"/>
      <c r="E7895"/>
      <c r="F7895"/>
      <c r="G7895" s="20"/>
      <c r="H7895"/>
      <c r="I7895"/>
    </row>
    <row r="7896" spans="2:9" ht="15" x14ac:dyDescent="0.25">
      <c r="B7896"/>
      <c r="C7896"/>
      <c r="D7896"/>
      <c r="E7896"/>
      <c r="F7896"/>
      <c r="G7896" s="20"/>
      <c r="H7896"/>
      <c r="I7896"/>
    </row>
    <row r="7897" spans="2:9" ht="15" x14ac:dyDescent="0.25">
      <c r="B7897"/>
      <c r="C7897"/>
      <c r="D7897"/>
      <c r="E7897"/>
      <c r="F7897"/>
      <c r="G7897" s="20"/>
      <c r="H7897"/>
      <c r="I7897"/>
    </row>
    <row r="7898" spans="2:9" ht="15" x14ac:dyDescent="0.25">
      <c r="B7898"/>
      <c r="C7898"/>
      <c r="D7898"/>
      <c r="E7898"/>
      <c r="F7898"/>
      <c r="G7898" s="20"/>
      <c r="H7898"/>
      <c r="I7898"/>
    </row>
    <row r="7899" spans="2:9" ht="15" x14ac:dyDescent="0.25">
      <c r="B7899"/>
      <c r="C7899"/>
      <c r="D7899"/>
      <c r="E7899"/>
      <c r="F7899"/>
      <c r="G7899" s="20"/>
      <c r="H7899"/>
      <c r="I7899"/>
    </row>
    <row r="7900" spans="2:9" ht="15" x14ac:dyDescent="0.25">
      <c r="B7900"/>
      <c r="C7900"/>
      <c r="D7900"/>
      <c r="E7900"/>
      <c r="F7900"/>
      <c r="G7900" s="20"/>
      <c r="H7900"/>
      <c r="I7900"/>
    </row>
    <row r="7901" spans="2:9" ht="15" x14ac:dyDescent="0.25">
      <c r="B7901"/>
      <c r="C7901"/>
      <c r="D7901"/>
      <c r="E7901"/>
      <c r="F7901"/>
      <c r="G7901" s="20"/>
      <c r="H7901"/>
      <c r="I7901"/>
    </row>
    <row r="7902" spans="2:9" ht="15" x14ac:dyDescent="0.25">
      <c r="B7902"/>
      <c r="C7902"/>
      <c r="D7902"/>
      <c r="E7902"/>
      <c r="F7902"/>
      <c r="G7902" s="20"/>
      <c r="H7902"/>
      <c r="I7902"/>
    </row>
    <row r="7903" spans="2:9" ht="15" x14ac:dyDescent="0.25">
      <c r="B7903"/>
      <c r="C7903"/>
      <c r="D7903"/>
      <c r="E7903"/>
      <c r="F7903"/>
      <c r="G7903" s="20"/>
      <c r="H7903"/>
      <c r="I7903"/>
    </row>
    <row r="7904" spans="2:9" ht="15" x14ac:dyDescent="0.25">
      <c r="B7904"/>
      <c r="C7904"/>
      <c r="D7904"/>
      <c r="E7904"/>
      <c r="F7904"/>
      <c r="G7904" s="20"/>
      <c r="H7904"/>
      <c r="I7904"/>
    </row>
    <row r="7905" spans="2:9" ht="15" x14ac:dyDescent="0.25">
      <c r="B7905"/>
      <c r="C7905"/>
      <c r="D7905"/>
      <c r="E7905"/>
      <c r="F7905"/>
      <c r="G7905" s="20"/>
      <c r="H7905"/>
      <c r="I7905"/>
    </row>
    <row r="7906" spans="2:9" ht="15" x14ac:dyDescent="0.25">
      <c r="B7906"/>
      <c r="C7906"/>
      <c r="D7906"/>
      <c r="E7906"/>
      <c r="F7906"/>
      <c r="G7906" s="20"/>
      <c r="H7906"/>
      <c r="I7906"/>
    </row>
    <row r="7907" spans="2:9" ht="15" x14ac:dyDescent="0.25">
      <c r="B7907"/>
      <c r="C7907"/>
      <c r="D7907"/>
      <c r="E7907"/>
      <c r="F7907"/>
      <c r="G7907" s="20"/>
      <c r="H7907"/>
      <c r="I7907"/>
    </row>
    <row r="7908" spans="2:9" ht="15" x14ac:dyDescent="0.25">
      <c r="B7908"/>
      <c r="C7908"/>
      <c r="D7908"/>
      <c r="E7908"/>
      <c r="F7908"/>
      <c r="G7908" s="20"/>
      <c r="H7908"/>
      <c r="I7908"/>
    </row>
    <row r="7909" spans="2:9" ht="15" x14ac:dyDescent="0.25">
      <c r="B7909"/>
      <c r="C7909"/>
      <c r="D7909"/>
      <c r="E7909"/>
      <c r="F7909"/>
      <c r="G7909" s="20"/>
      <c r="H7909"/>
      <c r="I7909"/>
    </row>
    <row r="7910" spans="2:9" ht="15" x14ac:dyDescent="0.25">
      <c r="B7910"/>
      <c r="C7910"/>
      <c r="D7910"/>
      <c r="E7910"/>
      <c r="F7910"/>
      <c r="G7910" s="20"/>
      <c r="H7910"/>
      <c r="I7910"/>
    </row>
    <row r="7911" spans="2:9" ht="15" x14ac:dyDescent="0.25">
      <c r="B7911"/>
      <c r="C7911"/>
      <c r="D7911"/>
      <c r="E7911"/>
      <c r="F7911"/>
      <c r="G7911" s="20"/>
      <c r="H7911"/>
      <c r="I7911"/>
    </row>
    <row r="7912" spans="2:9" ht="15" x14ac:dyDescent="0.25">
      <c r="B7912"/>
      <c r="C7912"/>
      <c r="D7912"/>
      <c r="E7912"/>
      <c r="F7912"/>
      <c r="G7912" s="20"/>
      <c r="H7912"/>
      <c r="I7912"/>
    </row>
    <row r="7913" spans="2:9" ht="15" x14ac:dyDescent="0.25">
      <c r="B7913"/>
      <c r="C7913"/>
      <c r="D7913"/>
      <c r="E7913"/>
      <c r="F7913"/>
      <c r="G7913" s="20"/>
      <c r="H7913"/>
      <c r="I7913"/>
    </row>
    <row r="7914" spans="2:9" ht="15" x14ac:dyDescent="0.25">
      <c r="B7914"/>
      <c r="C7914"/>
      <c r="D7914"/>
      <c r="E7914"/>
      <c r="F7914"/>
      <c r="G7914" s="20"/>
      <c r="H7914"/>
      <c r="I7914"/>
    </row>
    <row r="7915" spans="2:9" ht="15" x14ac:dyDescent="0.25">
      <c r="B7915"/>
      <c r="C7915"/>
      <c r="D7915"/>
      <c r="E7915"/>
      <c r="F7915"/>
      <c r="G7915" s="20"/>
      <c r="H7915"/>
      <c r="I7915"/>
    </row>
    <row r="7916" spans="2:9" ht="15" x14ac:dyDescent="0.25">
      <c r="B7916"/>
      <c r="C7916"/>
      <c r="D7916"/>
      <c r="E7916"/>
      <c r="F7916"/>
      <c r="G7916" s="20"/>
      <c r="H7916"/>
      <c r="I7916"/>
    </row>
    <row r="7917" spans="2:9" ht="15" x14ac:dyDescent="0.25">
      <c r="B7917"/>
      <c r="C7917"/>
      <c r="D7917"/>
      <c r="E7917"/>
      <c r="F7917"/>
      <c r="G7917" s="20"/>
      <c r="H7917"/>
      <c r="I7917"/>
    </row>
    <row r="7918" spans="2:9" ht="15" x14ac:dyDescent="0.25">
      <c r="B7918"/>
      <c r="C7918"/>
      <c r="D7918"/>
      <c r="E7918"/>
      <c r="F7918"/>
      <c r="G7918" s="20"/>
      <c r="H7918"/>
      <c r="I7918"/>
    </row>
    <row r="7919" spans="2:9" ht="15" x14ac:dyDescent="0.25">
      <c r="B7919"/>
      <c r="C7919"/>
      <c r="D7919"/>
      <c r="E7919"/>
      <c r="F7919"/>
      <c r="G7919" s="20"/>
      <c r="H7919"/>
      <c r="I7919"/>
    </row>
    <row r="7920" spans="2:9" ht="15" x14ac:dyDescent="0.25">
      <c r="B7920"/>
      <c r="C7920"/>
      <c r="D7920"/>
      <c r="E7920"/>
      <c r="F7920"/>
      <c r="G7920" s="20"/>
      <c r="H7920"/>
      <c r="I7920"/>
    </row>
    <row r="7921" spans="2:9" ht="15" x14ac:dyDescent="0.25">
      <c r="B7921"/>
      <c r="C7921"/>
      <c r="D7921"/>
      <c r="E7921"/>
      <c r="F7921"/>
      <c r="G7921" s="20"/>
      <c r="H7921"/>
      <c r="I7921"/>
    </row>
    <row r="7922" spans="2:9" ht="15" x14ac:dyDescent="0.25">
      <c r="B7922"/>
      <c r="C7922"/>
      <c r="D7922"/>
      <c r="E7922"/>
      <c r="F7922"/>
      <c r="G7922" s="20"/>
      <c r="H7922"/>
      <c r="I7922"/>
    </row>
    <row r="7923" spans="2:9" ht="15" x14ac:dyDescent="0.25">
      <c r="B7923"/>
      <c r="C7923"/>
      <c r="D7923"/>
      <c r="E7923"/>
      <c r="F7923"/>
      <c r="G7923" s="20"/>
      <c r="H7923"/>
      <c r="I7923"/>
    </row>
    <row r="7924" spans="2:9" ht="15" x14ac:dyDescent="0.25">
      <c r="B7924"/>
      <c r="C7924"/>
      <c r="D7924"/>
      <c r="E7924"/>
      <c r="F7924"/>
      <c r="G7924" s="20"/>
      <c r="H7924"/>
      <c r="I7924"/>
    </row>
    <row r="7925" spans="2:9" ht="15" x14ac:dyDescent="0.25">
      <c r="B7925"/>
      <c r="C7925"/>
      <c r="D7925"/>
      <c r="E7925"/>
      <c r="F7925"/>
      <c r="G7925" s="20"/>
      <c r="H7925"/>
      <c r="I7925"/>
    </row>
    <row r="7926" spans="2:9" ht="15" x14ac:dyDescent="0.25">
      <c r="B7926"/>
      <c r="C7926"/>
      <c r="D7926"/>
      <c r="E7926"/>
      <c r="F7926"/>
      <c r="G7926" s="20"/>
      <c r="H7926"/>
      <c r="I7926"/>
    </row>
    <row r="7927" spans="2:9" ht="15" x14ac:dyDescent="0.25">
      <c r="B7927"/>
      <c r="C7927"/>
      <c r="D7927"/>
      <c r="E7927"/>
      <c r="F7927"/>
      <c r="G7927" s="20"/>
      <c r="H7927"/>
      <c r="I7927"/>
    </row>
    <row r="7928" spans="2:9" ht="15" x14ac:dyDescent="0.25">
      <c r="B7928"/>
      <c r="C7928"/>
      <c r="D7928"/>
      <c r="E7928"/>
      <c r="F7928"/>
      <c r="G7928" s="20"/>
      <c r="H7928"/>
      <c r="I7928"/>
    </row>
    <row r="7929" spans="2:9" ht="15" x14ac:dyDescent="0.25">
      <c r="B7929"/>
      <c r="C7929"/>
      <c r="D7929"/>
      <c r="E7929"/>
      <c r="F7929"/>
      <c r="G7929" s="20"/>
      <c r="H7929"/>
      <c r="I7929"/>
    </row>
    <row r="7930" spans="2:9" ht="15" x14ac:dyDescent="0.25">
      <c r="B7930"/>
      <c r="C7930"/>
      <c r="D7930"/>
      <c r="E7930"/>
      <c r="F7930"/>
      <c r="G7930" s="20"/>
      <c r="H7930"/>
      <c r="I7930"/>
    </row>
    <row r="7931" spans="2:9" ht="15" x14ac:dyDescent="0.25">
      <c r="B7931"/>
      <c r="C7931"/>
      <c r="D7931"/>
      <c r="E7931"/>
      <c r="F7931"/>
      <c r="G7931" s="20"/>
      <c r="H7931"/>
      <c r="I7931"/>
    </row>
    <row r="7932" spans="2:9" ht="15" x14ac:dyDescent="0.25">
      <c r="B7932"/>
      <c r="C7932"/>
      <c r="D7932"/>
      <c r="E7932"/>
      <c r="F7932"/>
      <c r="G7932" s="20"/>
      <c r="H7932"/>
      <c r="I7932"/>
    </row>
    <row r="7933" spans="2:9" ht="15" x14ac:dyDescent="0.25">
      <c r="B7933"/>
      <c r="C7933"/>
      <c r="D7933"/>
      <c r="E7933"/>
      <c r="F7933"/>
      <c r="G7933" s="20"/>
      <c r="H7933"/>
      <c r="I7933"/>
    </row>
    <row r="7934" spans="2:9" ht="15" x14ac:dyDescent="0.25">
      <c r="B7934"/>
      <c r="C7934"/>
      <c r="D7934"/>
      <c r="E7934"/>
      <c r="F7934"/>
      <c r="G7934" s="20"/>
      <c r="H7934"/>
      <c r="I7934"/>
    </row>
    <row r="7935" spans="2:9" ht="15" x14ac:dyDescent="0.25">
      <c r="B7935"/>
      <c r="C7935"/>
      <c r="D7935"/>
      <c r="E7935"/>
      <c r="F7935"/>
      <c r="G7935" s="20"/>
      <c r="H7935"/>
      <c r="I7935"/>
    </row>
    <row r="7936" spans="2:9" ht="15" x14ac:dyDescent="0.25">
      <c r="B7936"/>
      <c r="C7936"/>
      <c r="D7936"/>
      <c r="E7936"/>
      <c r="F7936"/>
      <c r="G7936" s="20"/>
      <c r="H7936"/>
      <c r="I7936"/>
    </row>
    <row r="7937" spans="2:9" ht="15" x14ac:dyDescent="0.25">
      <c r="B7937"/>
      <c r="C7937"/>
      <c r="D7937"/>
      <c r="E7937"/>
      <c r="F7937"/>
      <c r="G7937" s="20"/>
      <c r="H7937"/>
      <c r="I7937"/>
    </row>
    <row r="7938" spans="2:9" ht="15" x14ac:dyDescent="0.25">
      <c r="B7938"/>
      <c r="C7938"/>
      <c r="D7938"/>
      <c r="E7938"/>
      <c r="F7938"/>
      <c r="G7938" s="20"/>
      <c r="H7938"/>
      <c r="I7938"/>
    </row>
    <row r="7939" spans="2:9" ht="15" x14ac:dyDescent="0.25">
      <c r="B7939"/>
      <c r="C7939"/>
      <c r="D7939"/>
      <c r="E7939"/>
      <c r="F7939"/>
      <c r="G7939" s="20"/>
      <c r="H7939"/>
      <c r="I7939"/>
    </row>
    <row r="7940" spans="2:9" ht="15" x14ac:dyDescent="0.25">
      <c r="B7940"/>
      <c r="C7940"/>
      <c r="D7940"/>
      <c r="E7940"/>
      <c r="F7940"/>
      <c r="G7940" s="20"/>
      <c r="H7940"/>
      <c r="I7940"/>
    </row>
    <row r="7941" spans="2:9" ht="15" x14ac:dyDescent="0.25">
      <c r="B7941"/>
      <c r="C7941"/>
      <c r="D7941"/>
      <c r="E7941"/>
      <c r="F7941"/>
      <c r="G7941" s="20"/>
      <c r="H7941"/>
      <c r="I7941"/>
    </row>
    <row r="7942" spans="2:9" ht="15" x14ac:dyDescent="0.25">
      <c r="B7942"/>
      <c r="C7942"/>
      <c r="D7942"/>
      <c r="E7942"/>
      <c r="F7942"/>
      <c r="G7942" s="20"/>
      <c r="H7942"/>
      <c r="I7942"/>
    </row>
    <row r="7943" spans="2:9" ht="15" x14ac:dyDescent="0.25">
      <c r="B7943"/>
      <c r="C7943"/>
      <c r="D7943"/>
      <c r="E7943"/>
      <c r="F7943"/>
      <c r="G7943" s="20"/>
      <c r="H7943"/>
      <c r="I7943"/>
    </row>
    <row r="7944" spans="2:9" ht="15" x14ac:dyDescent="0.25">
      <c r="B7944"/>
      <c r="C7944"/>
      <c r="D7944"/>
      <c r="E7944"/>
      <c r="F7944"/>
      <c r="G7944" s="20"/>
      <c r="H7944"/>
      <c r="I7944"/>
    </row>
    <row r="7945" spans="2:9" ht="15" x14ac:dyDescent="0.25">
      <c r="B7945"/>
      <c r="C7945"/>
      <c r="D7945"/>
      <c r="E7945"/>
      <c r="F7945"/>
      <c r="G7945" s="20"/>
      <c r="H7945"/>
      <c r="I7945"/>
    </row>
    <row r="7946" spans="2:9" ht="15" x14ac:dyDescent="0.25">
      <c r="B7946"/>
      <c r="C7946"/>
      <c r="D7946"/>
      <c r="E7946"/>
      <c r="F7946"/>
      <c r="G7946" s="20"/>
      <c r="H7946"/>
      <c r="I7946"/>
    </row>
    <row r="7947" spans="2:9" ht="15" x14ac:dyDescent="0.25">
      <c r="B7947"/>
      <c r="C7947"/>
      <c r="D7947"/>
      <c r="E7947"/>
      <c r="F7947"/>
      <c r="G7947" s="20"/>
      <c r="H7947"/>
      <c r="I7947"/>
    </row>
    <row r="7948" spans="2:9" ht="15" x14ac:dyDescent="0.25">
      <c r="B7948"/>
      <c r="C7948"/>
      <c r="D7948"/>
      <c r="E7948"/>
      <c r="F7948"/>
      <c r="G7948" s="20"/>
      <c r="H7948"/>
      <c r="I7948"/>
    </row>
    <row r="7949" spans="2:9" ht="15" x14ac:dyDescent="0.25">
      <c r="B7949"/>
      <c r="C7949"/>
      <c r="D7949"/>
      <c r="E7949"/>
      <c r="F7949"/>
      <c r="G7949" s="20"/>
      <c r="H7949"/>
      <c r="I7949"/>
    </row>
    <row r="7950" spans="2:9" ht="15" x14ac:dyDescent="0.25">
      <c r="B7950"/>
      <c r="C7950"/>
      <c r="D7950"/>
      <c r="E7950"/>
      <c r="F7950"/>
      <c r="G7950" s="20"/>
      <c r="H7950"/>
      <c r="I7950"/>
    </row>
    <row r="7951" spans="2:9" ht="15" x14ac:dyDescent="0.25">
      <c r="B7951"/>
      <c r="C7951"/>
      <c r="D7951"/>
      <c r="E7951"/>
      <c r="F7951"/>
      <c r="G7951" s="20"/>
      <c r="H7951"/>
      <c r="I7951"/>
    </row>
    <row r="7952" spans="2:9" ht="15" x14ac:dyDescent="0.25">
      <c r="B7952"/>
      <c r="C7952"/>
      <c r="D7952"/>
      <c r="E7952"/>
      <c r="F7952"/>
      <c r="G7952" s="20"/>
      <c r="H7952"/>
      <c r="I7952"/>
    </row>
    <row r="7953" spans="2:9" ht="15" x14ac:dyDescent="0.25">
      <c r="B7953"/>
      <c r="C7953"/>
      <c r="D7953"/>
      <c r="E7953"/>
      <c r="F7953"/>
      <c r="G7953" s="20"/>
      <c r="H7953"/>
      <c r="I7953"/>
    </row>
    <row r="7954" spans="2:9" ht="15" x14ac:dyDescent="0.25">
      <c r="B7954"/>
      <c r="C7954"/>
      <c r="D7954"/>
      <c r="E7954"/>
      <c r="F7954"/>
      <c r="G7954" s="20"/>
      <c r="H7954"/>
      <c r="I7954"/>
    </row>
    <row r="7955" spans="2:9" ht="15" x14ac:dyDescent="0.25">
      <c r="B7955"/>
      <c r="C7955"/>
      <c r="D7955"/>
      <c r="E7955"/>
      <c r="F7955"/>
      <c r="G7955" s="20"/>
      <c r="H7955"/>
      <c r="I7955"/>
    </row>
    <row r="7956" spans="2:9" ht="15" x14ac:dyDescent="0.25">
      <c r="B7956"/>
      <c r="C7956"/>
      <c r="D7956"/>
      <c r="E7956"/>
      <c r="F7956"/>
      <c r="G7956" s="20"/>
      <c r="H7956"/>
      <c r="I7956"/>
    </row>
    <row r="7957" spans="2:9" ht="15" x14ac:dyDescent="0.25">
      <c r="B7957"/>
      <c r="C7957"/>
      <c r="D7957"/>
      <c r="E7957"/>
      <c r="F7957"/>
      <c r="G7957" s="20"/>
      <c r="H7957"/>
      <c r="I7957"/>
    </row>
    <row r="7958" spans="2:9" ht="15" x14ac:dyDescent="0.25">
      <c r="B7958"/>
      <c r="C7958"/>
      <c r="D7958"/>
      <c r="E7958"/>
      <c r="F7958"/>
      <c r="G7958" s="20"/>
      <c r="H7958"/>
      <c r="I7958"/>
    </row>
    <row r="7959" spans="2:9" ht="15" x14ac:dyDescent="0.25">
      <c r="B7959"/>
      <c r="C7959"/>
      <c r="D7959"/>
      <c r="E7959"/>
      <c r="F7959"/>
      <c r="G7959" s="20"/>
      <c r="H7959"/>
      <c r="I7959"/>
    </row>
    <row r="7960" spans="2:9" ht="15" x14ac:dyDescent="0.25">
      <c r="B7960"/>
      <c r="C7960"/>
      <c r="D7960"/>
      <c r="E7960"/>
      <c r="F7960"/>
      <c r="G7960" s="20"/>
      <c r="H7960"/>
      <c r="I7960"/>
    </row>
    <row r="7961" spans="2:9" ht="15" x14ac:dyDescent="0.25">
      <c r="B7961"/>
      <c r="C7961"/>
      <c r="D7961"/>
      <c r="E7961"/>
      <c r="F7961"/>
      <c r="G7961" s="20"/>
      <c r="H7961"/>
      <c r="I7961"/>
    </row>
    <row r="7962" spans="2:9" ht="15" x14ac:dyDescent="0.25">
      <c r="B7962"/>
      <c r="C7962"/>
      <c r="D7962"/>
      <c r="E7962"/>
      <c r="F7962"/>
      <c r="G7962" s="20"/>
      <c r="H7962"/>
      <c r="I7962"/>
    </row>
    <row r="7963" spans="2:9" ht="15" x14ac:dyDescent="0.25">
      <c r="B7963"/>
      <c r="C7963"/>
      <c r="D7963"/>
      <c r="E7963"/>
      <c r="F7963"/>
      <c r="G7963" s="20"/>
      <c r="H7963"/>
      <c r="I7963"/>
    </row>
    <row r="7964" spans="2:9" ht="15" x14ac:dyDescent="0.25">
      <c r="B7964"/>
      <c r="C7964"/>
      <c r="D7964"/>
      <c r="E7964"/>
      <c r="F7964"/>
      <c r="G7964" s="20"/>
      <c r="H7964"/>
      <c r="I7964"/>
    </row>
    <row r="7965" spans="2:9" ht="15" x14ac:dyDescent="0.25">
      <c r="B7965"/>
      <c r="C7965"/>
      <c r="D7965"/>
      <c r="E7965"/>
      <c r="F7965"/>
      <c r="G7965" s="20"/>
      <c r="H7965"/>
      <c r="I7965"/>
    </row>
    <row r="7966" spans="2:9" ht="15" x14ac:dyDescent="0.25">
      <c r="B7966"/>
      <c r="C7966"/>
      <c r="D7966"/>
      <c r="E7966"/>
      <c r="F7966"/>
      <c r="G7966" s="20"/>
      <c r="H7966"/>
      <c r="I7966"/>
    </row>
    <row r="7967" spans="2:9" ht="15" x14ac:dyDescent="0.25">
      <c r="B7967"/>
      <c r="C7967"/>
      <c r="D7967"/>
      <c r="E7967"/>
      <c r="F7967"/>
      <c r="G7967" s="20"/>
      <c r="H7967"/>
      <c r="I7967"/>
    </row>
    <row r="7968" spans="2:9" ht="15" x14ac:dyDescent="0.25">
      <c r="B7968"/>
      <c r="C7968"/>
      <c r="D7968"/>
      <c r="E7968"/>
      <c r="F7968"/>
      <c r="G7968" s="20"/>
      <c r="H7968"/>
      <c r="I7968"/>
    </row>
    <row r="7969" spans="2:9" ht="15" x14ac:dyDescent="0.25">
      <c r="B7969"/>
      <c r="C7969"/>
      <c r="D7969"/>
      <c r="E7969"/>
      <c r="F7969"/>
      <c r="G7969" s="20"/>
      <c r="H7969"/>
      <c r="I7969"/>
    </row>
    <row r="7970" spans="2:9" ht="15" x14ac:dyDescent="0.25">
      <c r="B7970"/>
      <c r="C7970"/>
      <c r="D7970"/>
      <c r="E7970"/>
      <c r="F7970"/>
      <c r="G7970" s="20"/>
      <c r="H7970"/>
      <c r="I7970"/>
    </row>
    <row r="7971" spans="2:9" ht="15" x14ac:dyDescent="0.25">
      <c r="B7971"/>
      <c r="C7971"/>
      <c r="D7971"/>
      <c r="E7971"/>
      <c r="F7971"/>
      <c r="G7971" s="20"/>
      <c r="H7971"/>
      <c r="I7971"/>
    </row>
    <row r="7972" spans="2:9" ht="15" x14ac:dyDescent="0.25">
      <c r="B7972"/>
      <c r="C7972"/>
      <c r="D7972"/>
      <c r="E7972"/>
      <c r="F7972"/>
      <c r="G7972" s="20"/>
      <c r="H7972"/>
      <c r="I7972"/>
    </row>
    <row r="7973" spans="2:9" ht="15" x14ac:dyDescent="0.25">
      <c r="B7973"/>
      <c r="C7973"/>
      <c r="D7973"/>
      <c r="E7973"/>
      <c r="F7973"/>
      <c r="G7973" s="20"/>
      <c r="H7973"/>
      <c r="I7973"/>
    </row>
    <row r="7974" spans="2:9" ht="15" x14ac:dyDescent="0.25">
      <c r="B7974"/>
      <c r="C7974"/>
      <c r="D7974"/>
      <c r="E7974"/>
      <c r="F7974"/>
      <c r="G7974" s="20"/>
      <c r="H7974"/>
      <c r="I7974"/>
    </row>
    <row r="7975" spans="2:9" ht="15" x14ac:dyDescent="0.25">
      <c r="B7975"/>
      <c r="C7975"/>
      <c r="D7975"/>
      <c r="E7975"/>
      <c r="F7975"/>
      <c r="G7975" s="20"/>
      <c r="H7975"/>
      <c r="I7975"/>
    </row>
    <row r="7976" spans="2:9" ht="15" x14ac:dyDescent="0.25">
      <c r="B7976"/>
      <c r="C7976"/>
      <c r="D7976"/>
      <c r="E7976"/>
      <c r="F7976"/>
      <c r="G7976" s="20"/>
      <c r="H7976"/>
      <c r="I7976"/>
    </row>
    <row r="7977" spans="2:9" ht="15" x14ac:dyDescent="0.25">
      <c r="B7977"/>
      <c r="C7977"/>
      <c r="D7977"/>
      <c r="E7977"/>
      <c r="F7977"/>
      <c r="G7977" s="20"/>
      <c r="H7977"/>
      <c r="I7977"/>
    </row>
    <row r="7978" spans="2:9" ht="15" x14ac:dyDescent="0.25">
      <c r="B7978"/>
      <c r="C7978"/>
      <c r="D7978"/>
      <c r="E7978"/>
      <c r="F7978"/>
      <c r="G7978" s="20"/>
      <c r="H7978"/>
      <c r="I7978"/>
    </row>
    <row r="7979" spans="2:9" ht="15" x14ac:dyDescent="0.25">
      <c r="B7979"/>
      <c r="C7979"/>
      <c r="D7979"/>
      <c r="E7979"/>
      <c r="F7979"/>
      <c r="G7979" s="20"/>
      <c r="H7979"/>
      <c r="I7979"/>
    </row>
    <row r="7980" spans="2:9" ht="15" x14ac:dyDescent="0.25">
      <c r="B7980"/>
      <c r="C7980"/>
      <c r="D7980"/>
      <c r="E7980"/>
      <c r="F7980"/>
      <c r="G7980" s="20"/>
      <c r="H7980"/>
      <c r="I7980"/>
    </row>
    <row r="7981" spans="2:9" ht="15" x14ac:dyDescent="0.25">
      <c r="B7981"/>
      <c r="C7981"/>
      <c r="D7981"/>
      <c r="E7981"/>
      <c r="F7981"/>
      <c r="G7981" s="20"/>
      <c r="H7981"/>
      <c r="I7981"/>
    </row>
    <row r="7982" spans="2:9" ht="15" x14ac:dyDescent="0.25">
      <c r="B7982"/>
      <c r="C7982"/>
      <c r="D7982"/>
      <c r="E7982"/>
      <c r="F7982"/>
      <c r="G7982" s="20"/>
      <c r="H7982"/>
      <c r="I7982"/>
    </row>
    <row r="7983" spans="2:9" ht="15" x14ac:dyDescent="0.25">
      <c r="B7983"/>
      <c r="C7983"/>
      <c r="D7983"/>
      <c r="E7983"/>
      <c r="F7983"/>
      <c r="G7983" s="20"/>
      <c r="H7983"/>
      <c r="I7983"/>
    </row>
    <row r="7984" spans="2:9" ht="15" x14ac:dyDescent="0.25">
      <c r="B7984"/>
      <c r="C7984"/>
      <c r="D7984"/>
      <c r="E7984"/>
      <c r="F7984"/>
      <c r="G7984" s="20"/>
      <c r="H7984"/>
      <c r="I7984"/>
    </row>
    <row r="7985" spans="2:9" ht="15" x14ac:dyDescent="0.25">
      <c r="B7985"/>
      <c r="C7985"/>
      <c r="D7985"/>
      <c r="E7985"/>
      <c r="F7985"/>
      <c r="G7985" s="20"/>
      <c r="H7985"/>
      <c r="I7985"/>
    </row>
    <row r="7986" spans="2:9" ht="15" x14ac:dyDescent="0.25">
      <c r="B7986"/>
      <c r="C7986"/>
      <c r="D7986"/>
      <c r="E7986"/>
      <c r="F7986"/>
      <c r="G7986" s="20"/>
      <c r="H7986"/>
      <c r="I7986"/>
    </row>
    <row r="7987" spans="2:9" ht="15" x14ac:dyDescent="0.25">
      <c r="B7987"/>
      <c r="C7987"/>
      <c r="D7987"/>
      <c r="E7987"/>
      <c r="F7987"/>
      <c r="G7987" s="20"/>
      <c r="H7987"/>
      <c r="I7987"/>
    </row>
    <row r="7988" spans="2:9" ht="15" x14ac:dyDescent="0.25">
      <c r="B7988"/>
      <c r="C7988"/>
      <c r="D7988"/>
      <c r="E7988"/>
      <c r="F7988"/>
      <c r="G7988" s="20"/>
      <c r="H7988"/>
      <c r="I7988"/>
    </row>
    <row r="7989" spans="2:9" ht="15" x14ac:dyDescent="0.25">
      <c r="B7989"/>
      <c r="C7989"/>
      <c r="D7989"/>
      <c r="E7989"/>
      <c r="F7989"/>
      <c r="G7989" s="20"/>
      <c r="H7989"/>
      <c r="I7989"/>
    </row>
    <row r="7990" spans="2:9" ht="15" x14ac:dyDescent="0.25">
      <c r="B7990"/>
      <c r="C7990"/>
      <c r="D7990"/>
      <c r="E7990"/>
      <c r="F7990"/>
      <c r="G7990" s="20"/>
      <c r="H7990"/>
      <c r="I7990"/>
    </row>
    <row r="7991" spans="2:9" ht="15" x14ac:dyDescent="0.25">
      <c r="B7991"/>
      <c r="C7991"/>
      <c r="D7991"/>
      <c r="E7991"/>
      <c r="F7991"/>
      <c r="G7991" s="20"/>
      <c r="H7991"/>
      <c r="I7991"/>
    </row>
    <row r="7992" spans="2:9" ht="15" x14ac:dyDescent="0.25">
      <c r="B7992"/>
      <c r="C7992"/>
      <c r="D7992"/>
      <c r="E7992"/>
      <c r="F7992"/>
      <c r="G7992" s="20"/>
      <c r="H7992"/>
      <c r="I7992"/>
    </row>
    <row r="7993" spans="2:9" ht="15" x14ac:dyDescent="0.25">
      <c r="B7993"/>
      <c r="C7993"/>
      <c r="D7993"/>
      <c r="E7993"/>
      <c r="F7993"/>
      <c r="G7993" s="20"/>
      <c r="H7993"/>
      <c r="I7993"/>
    </row>
    <row r="7994" spans="2:9" ht="15" x14ac:dyDescent="0.25">
      <c r="B7994"/>
      <c r="C7994"/>
      <c r="D7994"/>
      <c r="E7994"/>
      <c r="F7994"/>
      <c r="G7994" s="20"/>
      <c r="H7994"/>
      <c r="I7994"/>
    </row>
    <row r="7995" spans="2:9" ht="15" x14ac:dyDescent="0.25">
      <c r="B7995"/>
      <c r="C7995"/>
      <c r="D7995"/>
      <c r="E7995"/>
      <c r="F7995"/>
      <c r="G7995" s="20"/>
      <c r="H7995"/>
      <c r="I7995"/>
    </row>
    <row r="7996" spans="2:9" ht="15" x14ac:dyDescent="0.25">
      <c r="B7996"/>
      <c r="C7996"/>
      <c r="D7996"/>
      <c r="E7996"/>
      <c r="F7996"/>
      <c r="G7996" s="20"/>
      <c r="H7996"/>
      <c r="I7996"/>
    </row>
    <row r="7997" spans="2:9" ht="15" x14ac:dyDescent="0.25">
      <c r="B7997"/>
      <c r="C7997"/>
      <c r="D7997"/>
      <c r="E7997"/>
      <c r="F7997"/>
      <c r="G7997" s="20"/>
      <c r="H7997"/>
      <c r="I7997"/>
    </row>
    <row r="7998" spans="2:9" ht="15" x14ac:dyDescent="0.25">
      <c r="B7998"/>
      <c r="C7998"/>
      <c r="D7998"/>
      <c r="E7998"/>
      <c r="F7998"/>
      <c r="G7998" s="20"/>
      <c r="H7998"/>
      <c r="I7998"/>
    </row>
    <row r="7999" spans="2:9" ht="15" x14ac:dyDescent="0.25">
      <c r="B7999"/>
      <c r="C7999"/>
      <c r="D7999"/>
      <c r="E7999"/>
      <c r="F7999"/>
      <c r="G7999" s="20"/>
      <c r="H7999"/>
      <c r="I7999"/>
    </row>
    <row r="8000" spans="2:9" ht="15" x14ac:dyDescent="0.25">
      <c r="B8000"/>
      <c r="C8000"/>
      <c r="D8000"/>
      <c r="E8000"/>
      <c r="F8000"/>
      <c r="G8000" s="20"/>
      <c r="H8000"/>
      <c r="I8000"/>
    </row>
    <row r="8001" spans="2:9" ht="15" x14ac:dyDescent="0.25">
      <c r="B8001"/>
      <c r="C8001"/>
      <c r="D8001"/>
      <c r="E8001"/>
      <c r="F8001"/>
      <c r="G8001" s="20"/>
      <c r="H8001"/>
      <c r="I8001"/>
    </row>
    <row r="8002" spans="2:9" ht="15" x14ac:dyDescent="0.25">
      <c r="B8002"/>
      <c r="C8002"/>
      <c r="D8002"/>
      <c r="E8002"/>
      <c r="F8002"/>
      <c r="G8002" s="20"/>
      <c r="H8002"/>
      <c r="I8002"/>
    </row>
    <row r="8003" spans="2:9" ht="15" x14ac:dyDescent="0.25">
      <c r="B8003"/>
      <c r="C8003"/>
      <c r="D8003"/>
      <c r="E8003"/>
      <c r="F8003"/>
      <c r="G8003" s="20"/>
      <c r="H8003"/>
      <c r="I8003"/>
    </row>
    <row r="8004" spans="2:9" ht="15" x14ac:dyDescent="0.25">
      <c r="B8004"/>
      <c r="C8004"/>
      <c r="D8004"/>
      <c r="E8004"/>
      <c r="F8004"/>
      <c r="G8004" s="20"/>
      <c r="H8004"/>
      <c r="I8004"/>
    </row>
    <row r="8005" spans="2:9" ht="15" x14ac:dyDescent="0.25">
      <c r="B8005"/>
      <c r="C8005"/>
      <c r="D8005"/>
      <c r="E8005"/>
      <c r="F8005"/>
      <c r="G8005" s="20"/>
      <c r="H8005"/>
      <c r="I8005"/>
    </row>
    <row r="8006" spans="2:9" ht="15" x14ac:dyDescent="0.25">
      <c r="B8006"/>
      <c r="C8006"/>
      <c r="D8006"/>
      <c r="E8006"/>
      <c r="F8006"/>
      <c r="G8006" s="20"/>
      <c r="H8006"/>
      <c r="I8006"/>
    </row>
    <row r="8007" spans="2:9" ht="15" x14ac:dyDescent="0.25">
      <c r="B8007"/>
      <c r="C8007"/>
      <c r="D8007"/>
      <c r="E8007"/>
      <c r="F8007"/>
      <c r="G8007" s="20"/>
      <c r="H8007"/>
      <c r="I8007"/>
    </row>
    <row r="8008" spans="2:9" ht="15" x14ac:dyDescent="0.25">
      <c r="B8008"/>
      <c r="C8008"/>
      <c r="D8008"/>
      <c r="E8008"/>
      <c r="F8008"/>
      <c r="G8008" s="20"/>
      <c r="H8008"/>
      <c r="I8008"/>
    </row>
    <row r="8009" spans="2:9" ht="15" x14ac:dyDescent="0.25">
      <c r="B8009"/>
      <c r="C8009"/>
      <c r="D8009"/>
      <c r="E8009"/>
      <c r="F8009"/>
      <c r="G8009" s="20"/>
      <c r="H8009"/>
      <c r="I8009"/>
    </row>
    <row r="8010" spans="2:9" ht="15" x14ac:dyDescent="0.25">
      <c r="B8010"/>
      <c r="C8010"/>
      <c r="D8010"/>
      <c r="E8010"/>
      <c r="F8010"/>
      <c r="G8010" s="20"/>
      <c r="H8010"/>
      <c r="I8010"/>
    </row>
    <row r="8011" spans="2:9" ht="15" x14ac:dyDescent="0.25">
      <c r="B8011"/>
      <c r="C8011"/>
      <c r="D8011"/>
      <c r="E8011"/>
      <c r="F8011"/>
      <c r="G8011" s="20"/>
      <c r="H8011"/>
      <c r="I8011"/>
    </row>
    <row r="8012" spans="2:9" ht="15" x14ac:dyDescent="0.25">
      <c r="B8012"/>
      <c r="C8012"/>
      <c r="D8012"/>
      <c r="E8012"/>
      <c r="F8012"/>
      <c r="G8012" s="20"/>
      <c r="H8012"/>
      <c r="I8012"/>
    </row>
    <row r="8013" spans="2:9" ht="15" x14ac:dyDescent="0.25">
      <c r="B8013"/>
      <c r="C8013"/>
      <c r="D8013"/>
      <c r="E8013"/>
      <c r="F8013"/>
      <c r="G8013" s="20"/>
      <c r="H8013"/>
      <c r="I8013"/>
    </row>
    <row r="8014" spans="2:9" ht="15" x14ac:dyDescent="0.25">
      <c r="B8014"/>
      <c r="C8014"/>
      <c r="D8014"/>
      <c r="E8014"/>
      <c r="F8014"/>
      <c r="G8014" s="20"/>
      <c r="H8014"/>
      <c r="I8014"/>
    </row>
    <row r="8015" spans="2:9" ht="15" x14ac:dyDescent="0.25">
      <c r="B8015"/>
      <c r="C8015"/>
      <c r="D8015"/>
      <c r="E8015"/>
      <c r="F8015"/>
      <c r="G8015" s="20"/>
      <c r="H8015"/>
      <c r="I8015"/>
    </row>
    <row r="8016" spans="2:9" ht="15" x14ac:dyDescent="0.25">
      <c r="B8016"/>
      <c r="C8016"/>
      <c r="D8016"/>
      <c r="E8016"/>
      <c r="F8016"/>
      <c r="G8016" s="20"/>
      <c r="H8016"/>
      <c r="I8016"/>
    </row>
    <row r="8017" spans="2:9" ht="15" x14ac:dyDescent="0.25">
      <c r="B8017"/>
      <c r="C8017"/>
      <c r="D8017"/>
      <c r="E8017"/>
      <c r="F8017"/>
      <c r="G8017" s="20"/>
      <c r="H8017"/>
      <c r="I8017"/>
    </row>
    <row r="8018" spans="2:9" ht="15" x14ac:dyDescent="0.25">
      <c r="B8018"/>
      <c r="C8018"/>
      <c r="D8018"/>
      <c r="E8018"/>
      <c r="F8018"/>
      <c r="G8018" s="20"/>
      <c r="H8018"/>
      <c r="I8018"/>
    </row>
    <row r="8019" spans="2:9" ht="15" x14ac:dyDescent="0.25">
      <c r="B8019"/>
      <c r="C8019"/>
      <c r="D8019"/>
      <c r="E8019"/>
      <c r="F8019"/>
      <c r="G8019" s="20"/>
      <c r="H8019"/>
      <c r="I8019"/>
    </row>
    <row r="8020" spans="2:9" ht="15" x14ac:dyDescent="0.25">
      <c r="B8020"/>
      <c r="C8020"/>
      <c r="D8020"/>
      <c r="E8020"/>
      <c r="F8020"/>
      <c r="G8020" s="20"/>
      <c r="H8020"/>
      <c r="I8020"/>
    </row>
    <row r="8021" spans="2:9" ht="15" x14ac:dyDescent="0.25">
      <c r="B8021"/>
      <c r="C8021"/>
      <c r="D8021"/>
      <c r="E8021"/>
      <c r="F8021"/>
      <c r="G8021" s="20"/>
      <c r="H8021"/>
      <c r="I8021"/>
    </row>
    <row r="8022" spans="2:9" ht="15" x14ac:dyDescent="0.25">
      <c r="B8022"/>
      <c r="C8022"/>
      <c r="D8022"/>
      <c r="E8022"/>
      <c r="F8022"/>
      <c r="G8022" s="20"/>
      <c r="H8022"/>
      <c r="I8022"/>
    </row>
    <row r="8023" spans="2:9" ht="15" x14ac:dyDescent="0.25">
      <c r="B8023"/>
      <c r="C8023"/>
      <c r="D8023"/>
      <c r="E8023"/>
      <c r="F8023"/>
      <c r="G8023" s="20"/>
      <c r="H8023"/>
      <c r="I8023"/>
    </row>
    <row r="8024" spans="2:9" ht="15" x14ac:dyDescent="0.25">
      <c r="B8024"/>
      <c r="C8024"/>
      <c r="D8024"/>
      <c r="E8024"/>
      <c r="F8024"/>
      <c r="G8024" s="20"/>
      <c r="H8024"/>
      <c r="I8024"/>
    </row>
    <row r="8025" spans="2:9" ht="15" x14ac:dyDescent="0.25">
      <c r="B8025"/>
      <c r="C8025"/>
      <c r="D8025"/>
      <c r="E8025"/>
      <c r="F8025"/>
      <c r="G8025" s="20"/>
      <c r="H8025"/>
      <c r="I8025"/>
    </row>
    <row r="8026" spans="2:9" ht="15" x14ac:dyDescent="0.25">
      <c r="B8026"/>
      <c r="C8026"/>
      <c r="D8026"/>
      <c r="E8026"/>
      <c r="F8026"/>
      <c r="G8026" s="20"/>
      <c r="H8026"/>
      <c r="I8026"/>
    </row>
    <row r="8027" spans="2:9" ht="15" x14ac:dyDescent="0.25">
      <c r="B8027"/>
      <c r="C8027"/>
      <c r="D8027"/>
      <c r="E8027"/>
      <c r="F8027"/>
      <c r="G8027" s="20"/>
      <c r="H8027"/>
      <c r="I8027"/>
    </row>
    <row r="8028" spans="2:9" ht="15" x14ac:dyDescent="0.25">
      <c r="B8028"/>
      <c r="C8028"/>
      <c r="D8028"/>
      <c r="E8028"/>
      <c r="F8028"/>
      <c r="G8028" s="20"/>
      <c r="H8028"/>
      <c r="I8028"/>
    </row>
    <row r="8029" spans="2:9" ht="15" x14ac:dyDescent="0.25">
      <c r="B8029"/>
      <c r="C8029"/>
      <c r="D8029"/>
      <c r="E8029"/>
      <c r="F8029"/>
      <c r="G8029" s="20"/>
      <c r="H8029"/>
      <c r="I8029"/>
    </row>
    <row r="8030" spans="2:9" ht="15" x14ac:dyDescent="0.25">
      <c r="B8030"/>
      <c r="C8030"/>
      <c r="D8030"/>
      <c r="E8030"/>
      <c r="F8030"/>
      <c r="G8030" s="20"/>
      <c r="H8030"/>
      <c r="I8030"/>
    </row>
    <row r="8031" spans="2:9" ht="15" x14ac:dyDescent="0.25">
      <c r="B8031"/>
      <c r="C8031"/>
      <c r="D8031"/>
      <c r="E8031"/>
      <c r="F8031"/>
      <c r="G8031" s="20"/>
      <c r="H8031"/>
      <c r="I8031"/>
    </row>
    <row r="8032" spans="2:9" ht="15" x14ac:dyDescent="0.25">
      <c r="B8032"/>
      <c r="C8032"/>
      <c r="D8032"/>
      <c r="E8032"/>
      <c r="F8032"/>
      <c r="G8032" s="20"/>
      <c r="H8032"/>
      <c r="I8032"/>
    </row>
    <row r="8033" spans="2:9" ht="15" x14ac:dyDescent="0.25">
      <c r="B8033"/>
      <c r="C8033"/>
      <c r="D8033"/>
      <c r="E8033"/>
      <c r="F8033"/>
      <c r="G8033" s="20"/>
      <c r="H8033"/>
      <c r="I8033"/>
    </row>
    <row r="8034" spans="2:9" ht="15" x14ac:dyDescent="0.25">
      <c r="B8034"/>
      <c r="C8034"/>
      <c r="D8034"/>
      <c r="E8034"/>
      <c r="F8034"/>
      <c r="G8034" s="20"/>
      <c r="H8034"/>
      <c r="I8034"/>
    </row>
    <row r="8035" spans="2:9" ht="15" x14ac:dyDescent="0.25">
      <c r="B8035"/>
      <c r="C8035"/>
      <c r="D8035"/>
      <c r="E8035"/>
      <c r="F8035"/>
      <c r="G8035" s="20"/>
      <c r="H8035"/>
      <c r="I8035"/>
    </row>
    <row r="8036" spans="2:9" ht="15" x14ac:dyDescent="0.25">
      <c r="B8036"/>
      <c r="C8036"/>
      <c r="D8036"/>
      <c r="E8036"/>
      <c r="F8036"/>
      <c r="G8036" s="20"/>
      <c r="H8036"/>
      <c r="I8036"/>
    </row>
    <row r="8037" spans="2:9" ht="15" x14ac:dyDescent="0.25">
      <c r="B8037"/>
      <c r="C8037"/>
      <c r="D8037"/>
      <c r="E8037"/>
      <c r="F8037"/>
      <c r="G8037" s="20"/>
      <c r="H8037"/>
      <c r="I8037"/>
    </row>
    <row r="8038" spans="2:9" ht="15" x14ac:dyDescent="0.25">
      <c r="B8038"/>
      <c r="C8038"/>
      <c r="D8038"/>
      <c r="E8038"/>
      <c r="F8038"/>
      <c r="G8038" s="20"/>
      <c r="H8038"/>
      <c r="I8038"/>
    </row>
    <row r="8039" spans="2:9" ht="15" x14ac:dyDescent="0.25">
      <c r="B8039"/>
      <c r="C8039"/>
      <c r="D8039"/>
      <c r="E8039"/>
      <c r="F8039"/>
      <c r="G8039" s="20"/>
      <c r="H8039"/>
      <c r="I8039"/>
    </row>
    <row r="8040" spans="2:9" ht="15" x14ac:dyDescent="0.25">
      <c r="B8040"/>
      <c r="C8040"/>
      <c r="D8040"/>
      <c r="E8040"/>
      <c r="F8040"/>
      <c r="G8040" s="20"/>
      <c r="H8040"/>
      <c r="I8040"/>
    </row>
    <row r="8041" spans="2:9" ht="15" x14ac:dyDescent="0.25">
      <c r="B8041"/>
      <c r="C8041"/>
      <c r="D8041"/>
      <c r="E8041"/>
      <c r="F8041"/>
      <c r="G8041" s="20"/>
      <c r="H8041"/>
      <c r="I8041"/>
    </row>
    <row r="8042" spans="2:9" ht="15" x14ac:dyDescent="0.25">
      <c r="B8042"/>
      <c r="C8042"/>
      <c r="D8042"/>
      <c r="E8042"/>
      <c r="F8042"/>
      <c r="G8042" s="20"/>
      <c r="H8042"/>
      <c r="I8042"/>
    </row>
    <row r="8043" spans="2:9" ht="15" x14ac:dyDescent="0.25">
      <c r="B8043"/>
      <c r="C8043"/>
      <c r="D8043"/>
      <c r="E8043"/>
      <c r="F8043"/>
      <c r="G8043" s="20"/>
      <c r="H8043"/>
      <c r="I8043"/>
    </row>
    <row r="8044" spans="2:9" ht="15" x14ac:dyDescent="0.25">
      <c r="B8044"/>
      <c r="C8044"/>
      <c r="D8044"/>
      <c r="E8044"/>
      <c r="F8044"/>
      <c r="G8044" s="20"/>
      <c r="H8044"/>
      <c r="I8044"/>
    </row>
    <row r="8045" spans="2:9" ht="15" x14ac:dyDescent="0.25">
      <c r="B8045"/>
      <c r="C8045"/>
      <c r="D8045"/>
      <c r="E8045"/>
      <c r="F8045"/>
      <c r="G8045" s="20"/>
      <c r="H8045"/>
      <c r="I8045"/>
    </row>
    <row r="8046" spans="2:9" ht="15" x14ac:dyDescent="0.25">
      <c r="B8046"/>
      <c r="C8046"/>
      <c r="D8046"/>
      <c r="E8046"/>
      <c r="F8046"/>
      <c r="G8046" s="20"/>
      <c r="H8046"/>
      <c r="I8046"/>
    </row>
    <row r="8047" spans="2:9" ht="15" x14ac:dyDescent="0.25">
      <c r="B8047"/>
      <c r="C8047"/>
      <c r="D8047"/>
      <c r="E8047"/>
      <c r="F8047"/>
      <c r="G8047" s="20"/>
      <c r="H8047"/>
      <c r="I8047"/>
    </row>
    <row r="8048" spans="2:9" ht="15" x14ac:dyDescent="0.25">
      <c r="B8048"/>
      <c r="C8048"/>
      <c r="D8048"/>
      <c r="E8048"/>
      <c r="F8048"/>
      <c r="G8048" s="20"/>
      <c r="H8048"/>
      <c r="I8048"/>
    </row>
    <row r="8049" spans="2:9" ht="15" x14ac:dyDescent="0.25">
      <c r="B8049"/>
      <c r="C8049"/>
      <c r="D8049"/>
      <c r="E8049"/>
      <c r="F8049"/>
      <c r="G8049" s="20"/>
      <c r="H8049"/>
      <c r="I8049"/>
    </row>
    <row r="8050" spans="2:9" ht="15" x14ac:dyDescent="0.25">
      <c r="B8050"/>
      <c r="C8050"/>
      <c r="D8050"/>
      <c r="E8050"/>
      <c r="F8050"/>
      <c r="G8050" s="20"/>
      <c r="H8050"/>
      <c r="I8050"/>
    </row>
    <row r="8051" spans="2:9" ht="15" x14ac:dyDescent="0.25">
      <c r="B8051"/>
      <c r="C8051"/>
      <c r="D8051"/>
      <c r="E8051"/>
      <c r="F8051"/>
      <c r="G8051" s="20"/>
      <c r="H8051"/>
      <c r="I8051"/>
    </row>
    <row r="8052" spans="2:9" ht="15" x14ac:dyDescent="0.25">
      <c r="B8052"/>
      <c r="C8052"/>
      <c r="D8052"/>
      <c r="E8052"/>
      <c r="F8052"/>
      <c r="G8052" s="20"/>
      <c r="H8052"/>
      <c r="I8052"/>
    </row>
    <row r="8053" spans="2:9" ht="15" x14ac:dyDescent="0.25">
      <c r="B8053"/>
      <c r="C8053"/>
      <c r="D8053"/>
      <c r="E8053"/>
      <c r="F8053"/>
      <c r="G8053" s="20"/>
      <c r="H8053"/>
      <c r="I8053"/>
    </row>
    <row r="8054" spans="2:9" ht="15" x14ac:dyDescent="0.25">
      <c r="B8054"/>
      <c r="C8054"/>
      <c r="D8054"/>
      <c r="E8054"/>
      <c r="F8054"/>
      <c r="G8054" s="20"/>
      <c r="H8054"/>
      <c r="I8054"/>
    </row>
    <row r="8055" spans="2:9" ht="15" x14ac:dyDescent="0.25">
      <c r="B8055"/>
      <c r="C8055"/>
      <c r="D8055"/>
      <c r="E8055"/>
      <c r="F8055"/>
      <c r="G8055" s="20"/>
      <c r="H8055"/>
      <c r="I8055"/>
    </row>
    <row r="8056" spans="2:9" ht="15" x14ac:dyDescent="0.25">
      <c r="B8056"/>
      <c r="C8056"/>
      <c r="D8056"/>
      <c r="E8056"/>
      <c r="F8056"/>
      <c r="G8056" s="20"/>
      <c r="H8056"/>
      <c r="I8056"/>
    </row>
    <row r="8057" spans="2:9" ht="15" x14ac:dyDescent="0.25">
      <c r="B8057"/>
      <c r="C8057"/>
      <c r="D8057"/>
      <c r="E8057"/>
      <c r="F8057"/>
      <c r="G8057" s="20"/>
      <c r="H8057"/>
      <c r="I8057"/>
    </row>
    <row r="8058" spans="2:9" ht="15" x14ac:dyDescent="0.25">
      <c r="B8058"/>
      <c r="C8058"/>
      <c r="D8058"/>
      <c r="E8058"/>
      <c r="F8058"/>
      <c r="G8058" s="20"/>
      <c r="H8058"/>
      <c r="I8058"/>
    </row>
    <row r="8059" spans="2:9" ht="15" x14ac:dyDescent="0.25">
      <c r="B8059"/>
      <c r="C8059"/>
      <c r="D8059"/>
      <c r="E8059"/>
      <c r="F8059"/>
      <c r="G8059" s="20"/>
      <c r="H8059"/>
      <c r="I8059"/>
    </row>
    <row r="8060" spans="2:9" ht="15" x14ac:dyDescent="0.25">
      <c r="B8060"/>
      <c r="C8060"/>
      <c r="D8060"/>
      <c r="E8060"/>
      <c r="F8060"/>
      <c r="G8060" s="20"/>
      <c r="H8060"/>
      <c r="I8060"/>
    </row>
    <row r="8061" spans="2:9" ht="15" x14ac:dyDescent="0.25">
      <c r="B8061"/>
      <c r="C8061"/>
      <c r="D8061"/>
      <c r="E8061"/>
      <c r="F8061"/>
      <c r="G8061" s="20"/>
      <c r="H8061"/>
      <c r="I8061"/>
    </row>
    <row r="8062" spans="2:9" ht="15" x14ac:dyDescent="0.25">
      <c r="B8062"/>
      <c r="C8062"/>
      <c r="D8062"/>
      <c r="E8062"/>
      <c r="F8062"/>
      <c r="G8062" s="20"/>
      <c r="H8062"/>
      <c r="I8062"/>
    </row>
    <row r="8063" spans="2:9" ht="15" x14ac:dyDescent="0.25">
      <c r="B8063"/>
      <c r="C8063"/>
      <c r="D8063"/>
      <c r="E8063"/>
      <c r="F8063"/>
      <c r="G8063" s="20"/>
      <c r="H8063"/>
      <c r="I8063"/>
    </row>
    <row r="8064" spans="2:9" ht="15" x14ac:dyDescent="0.25">
      <c r="B8064"/>
      <c r="C8064"/>
      <c r="D8064"/>
      <c r="E8064"/>
      <c r="F8064"/>
      <c r="G8064" s="20"/>
      <c r="H8064"/>
      <c r="I8064"/>
    </row>
    <row r="8065" spans="2:9" ht="15" x14ac:dyDescent="0.25">
      <c r="B8065"/>
      <c r="C8065"/>
      <c r="D8065"/>
      <c r="E8065"/>
      <c r="F8065"/>
      <c r="G8065" s="20"/>
      <c r="H8065"/>
      <c r="I8065"/>
    </row>
    <row r="8066" spans="2:9" ht="15" x14ac:dyDescent="0.25">
      <c r="B8066"/>
      <c r="C8066"/>
      <c r="D8066"/>
      <c r="E8066"/>
      <c r="F8066"/>
      <c r="G8066" s="20"/>
      <c r="H8066"/>
      <c r="I8066"/>
    </row>
    <row r="8067" spans="2:9" ht="15" x14ac:dyDescent="0.25">
      <c r="B8067"/>
      <c r="C8067"/>
      <c r="D8067"/>
      <c r="E8067"/>
      <c r="F8067"/>
      <c r="G8067" s="20"/>
      <c r="H8067"/>
      <c r="I8067"/>
    </row>
    <row r="8068" spans="2:9" ht="15" x14ac:dyDescent="0.25">
      <c r="B8068"/>
      <c r="C8068"/>
      <c r="D8068"/>
      <c r="E8068"/>
      <c r="F8068"/>
      <c r="G8068" s="20"/>
      <c r="H8068"/>
      <c r="I8068"/>
    </row>
    <row r="8069" spans="2:9" ht="15" x14ac:dyDescent="0.25">
      <c r="B8069"/>
      <c r="C8069"/>
      <c r="D8069"/>
      <c r="E8069"/>
      <c r="F8069"/>
      <c r="G8069" s="20"/>
      <c r="H8069"/>
      <c r="I8069"/>
    </row>
    <row r="8070" spans="2:9" ht="15" x14ac:dyDescent="0.25">
      <c r="B8070"/>
      <c r="C8070"/>
      <c r="D8070"/>
      <c r="E8070"/>
      <c r="F8070"/>
      <c r="G8070" s="20"/>
      <c r="H8070"/>
      <c r="I8070"/>
    </row>
    <row r="8071" spans="2:9" ht="15" x14ac:dyDescent="0.25">
      <c r="B8071"/>
      <c r="C8071"/>
      <c r="D8071"/>
      <c r="E8071"/>
      <c r="F8071"/>
      <c r="G8071" s="20"/>
      <c r="H8071"/>
      <c r="I8071"/>
    </row>
    <row r="8072" spans="2:9" ht="15" x14ac:dyDescent="0.25">
      <c r="B8072"/>
      <c r="C8072"/>
      <c r="D8072"/>
      <c r="E8072"/>
      <c r="F8072"/>
      <c r="G8072" s="20"/>
      <c r="H8072"/>
      <c r="I8072"/>
    </row>
    <row r="8073" spans="2:9" ht="15" x14ac:dyDescent="0.25">
      <c r="B8073"/>
      <c r="C8073"/>
      <c r="D8073"/>
      <c r="E8073"/>
      <c r="F8073"/>
      <c r="G8073" s="20"/>
      <c r="H8073"/>
      <c r="I8073"/>
    </row>
    <row r="8074" spans="2:9" ht="15" x14ac:dyDescent="0.25">
      <c r="B8074"/>
      <c r="C8074"/>
      <c r="D8074"/>
      <c r="E8074"/>
      <c r="F8074"/>
      <c r="G8074" s="20"/>
      <c r="H8074"/>
      <c r="I8074"/>
    </row>
    <row r="8075" spans="2:9" ht="15" x14ac:dyDescent="0.25">
      <c r="B8075"/>
      <c r="C8075"/>
      <c r="D8075"/>
      <c r="E8075"/>
      <c r="F8075"/>
      <c r="G8075" s="20"/>
      <c r="H8075"/>
      <c r="I8075"/>
    </row>
    <row r="8076" spans="2:9" ht="15" x14ac:dyDescent="0.25">
      <c r="B8076"/>
      <c r="C8076"/>
      <c r="D8076"/>
      <c r="E8076"/>
      <c r="F8076"/>
      <c r="G8076" s="20"/>
      <c r="H8076"/>
      <c r="I8076"/>
    </row>
    <row r="8077" spans="2:9" ht="15" x14ac:dyDescent="0.25">
      <c r="B8077"/>
      <c r="C8077"/>
      <c r="D8077"/>
      <c r="E8077"/>
      <c r="F8077"/>
      <c r="G8077" s="20"/>
      <c r="H8077"/>
      <c r="I8077"/>
    </row>
    <row r="8078" spans="2:9" ht="15" x14ac:dyDescent="0.25">
      <c r="B8078"/>
      <c r="C8078"/>
      <c r="D8078"/>
      <c r="E8078"/>
      <c r="F8078"/>
      <c r="G8078" s="20"/>
      <c r="H8078"/>
      <c r="I8078"/>
    </row>
    <row r="8079" spans="2:9" ht="15" x14ac:dyDescent="0.25">
      <c r="B8079"/>
      <c r="C8079"/>
      <c r="D8079"/>
      <c r="E8079"/>
      <c r="F8079"/>
      <c r="G8079" s="20"/>
      <c r="H8079"/>
      <c r="I8079"/>
    </row>
    <row r="8080" spans="2:9" ht="15" x14ac:dyDescent="0.25">
      <c r="B8080"/>
      <c r="C8080"/>
      <c r="D8080"/>
      <c r="E8080"/>
      <c r="F8080"/>
      <c r="G8080" s="20"/>
      <c r="H8080"/>
      <c r="I8080"/>
    </row>
    <row r="8081" spans="2:9" ht="15" x14ac:dyDescent="0.25">
      <c r="B8081"/>
      <c r="C8081"/>
      <c r="D8081"/>
      <c r="E8081"/>
      <c r="F8081"/>
      <c r="G8081" s="20"/>
      <c r="H8081"/>
      <c r="I8081"/>
    </row>
    <row r="8082" spans="2:9" ht="15" x14ac:dyDescent="0.25">
      <c r="B8082"/>
      <c r="C8082"/>
      <c r="D8082"/>
      <c r="E8082"/>
      <c r="F8082"/>
      <c r="G8082" s="20"/>
      <c r="H8082"/>
      <c r="I8082"/>
    </row>
    <row r="8083" spans="2:9" ht="15" x14ac:dyDescent="0.25">
      <c r="B8083"/>
      <c r="C8083"/>
      <c r="D8083"/>
      <c r="E8083"/>
      <c r="F8083"/>
      <c r="G8083" s="20"/>
      <c r="H8083"/>
      <c r="I8083"/>
    </row>
    <row r="8084" spans="2:9" ht="15" x14ac:dyDescent="0.25">
      <c r="B8084"/>
      <c r="C8084"/>
      <c r="D8084"/>
      <c r="E8084"/>
      <c r="F8084"/>
      <c r="G8084" s="20"/>
      <c r="H8084"/>
      <c r="I8084"/>
    </row>
    <row r="8085" spans="2:9" ht="15" x14ac:dyDescent="0.25">
      <c r="B8085"/>
      <c r="C8085"/>
      <c r="D8085"/>
      <c r="E8085"/>
      <c r="F8085"/>
      <c r="G8085" s="20"/>
      <c r="H8085"/>
      <c r="I8085"/>
    </row>
    <row r="8086" spans="2:9" ht="15" x14ac:dyDescent="0.25">
      <c r="B8086"/>
      <c r="C8086"/>
      <c r="D8086"/>
      <c r="E8086"/>
      <c r="F8086"/>
      <c r="G8086" s="20"/>
      <c r="H8086"/>
      <c r="I8086"/>
    </row>
    <row r="8087" spans="2:9" ht="15" x14ac:dyDescent="0.25">
      <c r="B8087"/>
      <c r="C8087"/>
      <c r="D8087"/>
      <c r="E8087"/>
      <c r="F8087"/>
      <c r="G8087" s="20"/>
      <c r="H8087"/>
      <c r="I8087"/>
    </row>
    <row r="8088" spans="2:9" ht="15" x14ac:dyDescent="0.25">
      <c r="B8088"/>
      <c r="C8088"/>
      <c r="D8088"/>
      <c r="E8088"/>
      <c r="F8088"/>
      <c r="G8088" s="20"/>
      <c r="H8088"/>
      <c r="I8088"/>
    </row>
    <row r="8089" spans="2:9" ht="15" x14ac:dyDescent="0.25">
      <c r="B8089"/>
      <c r="C8089"/>
      <c r="D8089"/>
      <c r="E8089"/>
      <c r="F8089"/>
      <c r="G8089" s="20"/>
      <c r="H8089"/>
      <c r="I8089"/>
    </row>
    <row r="8090" spans="2:9" ht="15" x14ac:dyDescent="0.25">
      <c r="B8090"/>
      <c r="C8090"/>
      <c r="D8090"/>
      <c r="E8090"/>
      <c r="F8090"/>
      <c r="G8090" s="20"/>
      <c r="H8090"/>
      <c r="I8090"/>
    </row>
    <row r="8091" spans="2:9" ht="15" x14ac:dyDescent="0.25">
      <c r="B8091"/>
      <c r="C8091"/>
      <c r="D8091"/>
      <c r="E8091"/>
      <c r="F8091"/>
      <c r="G8091" s="20"/>
      <c r="H8091"/>
      <c r="I8091"/>
    </row>
    <row r="8092" spans="2:9" ht="15" x14ac:dyDescent="0.25">
      <c r="B8092"/>
      <c r="C8092"/>
      <c r="D8092"/>
      <c r="E8092"/>
      <c r="F8092"/>
      <c r="G8092" s="20"/>
      <c r="H8092"/>
      <c r="I8092"/>
    </row>
    <row r="8093" spans="2:9" ht="15" x14ac:dyDescent="0.25">
      <c r="B8093"/>
      <c r="C8093"/>
      <c r="D8093"/>
      <c r="E8093"/>
      <c r="F8093"/>
      <c r="G8093" s="20"/>
      <c r="H8093"/>
      <c r="I8093"/>
    </row>
    <row r="8094" spans="2:9" ht="15" x14ac:dyDescent="0.25">
      <c r="B8094"/>
      <c r="C8094"/>
      <c r="D8094"/>
      <c r="E8094"/>
      <c r="F8094"/>
      <c r="G8094" s="20"/>
      <c r="H8094"/>
      <c r="I8094"/>
    </row>
    <row r="8095" spans="2:9" ht="15" x14ac:dyDescent="0.25">
      <c r="B8095"/>
      <c r="C8095"/>
      <c r="D8095"/>
      <c r="E8095"/>
      <c r="F8095"/>
      <c r="G8095" s="20"/>
      <c r="H8095"/>
      <c r="I8095"/>
    </row>
    <row r="8096" spans="2:9" ht="15" x14ac:dyDescent="0.25">
      <c r="B8096"/>
      <c r="C8096"/>
      <c r="D8096"/>
      <c r="E8096"/>
      <c r="F8096"/>
      <c r="G8096" s="20"/>
      <c r="H8096"/>
      <c r="I8096"/>
    </row>
    <row r="8097" spans="2:9" ht="15" x14ac:dyDescent="0.25">
      <c r="B8097"/>
      <c r="C8097"/>
      <c r="D8097"/>
      <c r="E8097"/>
      <c r="F8097"/>
      <c r="G8097" s="20"/>
      <c r="H8097"/>
      <c r="I8097"/>
    </row>
    <row r="8098" spans="2:9" ht="15" x14ac:dyDescent="0.25">
      <c r="B8098"/>
      <c r="C8098"/>
      <c r="D8098"/>
      <c r="E8098"/>
      <c r="F8098"/>
      <c r="G8098" s="20"/>
      <c r="H8098"/>
      <c r="I8098"/>
    </row>
    <row r="8099" spans="2:9" ht="15" x14ac:dyDescent="0.25">
      <c r="B8099"/>
      <c r="C8099"/>
      <c r="D8099"/>
      <c r="E8099"/>
      <c r="F8099"/>
      <c r="G8099" s="20"/>
      <c r="H8099"/>
      <c r="I8099"/>
    </row>
    <row r="8100" spans="2:9" ht="15" x14ac:dyDescent="0.25">
      <c r="B8100"/>
      <c r="C8100"/>
      <c r="D8100"/>
      <c r="E8100"/>
      <c r="F8100"/>
      <c r="G8100" s="20"/>
      <c r="H8100"/>
      <c r="I8100"/>
    </row>
    <row r="8101" spans="2:9" ht="15" x14ac:dyDescent="0.25">
      <c r="B8101"/>
      <c r="C8101"/>
      <c r="D8101"/>
      <c r="E8101"/>
      <c r="F8101"/>
      <c r="G8101" s="20"/>
      <c r="H8101"/>
      <c r="I8101"/>
    </row>
    <row r="8102" spans="2:9" ht="15" x14ac:dyDescent="0.25">
      <c r="B8102"/>
      <c r="C8102"/>
      <c r="D8102"/>
      <c r="E8102"/>
      <c r="F8102"/>
      <c r="G8102" s="20"/>
      <c r="H8102"/>
      <c r="I8102"/>
    </row>
    <row r="8103" spans="2:9" ht="15" x14ac:dyDescent="0.25">
      <c r="B8103"/>
      <c r="C8103"/>
      <c r="D8103"/>
      <c r="E8103"/>
      <c r="F8103"/>
      <c r="G8103" s="20"/>
      <c r="H8103"/>
      <c r="I8103"/>
    </row>
    <row r="8104" spans="2:9" ht="15" x14ac:dyDescent="0.25">
      <c r="B8104"/>
      <c r="C8104"/>
      <c r="D8104"/>
      <c r="E8104"/>
      <c r="F8104"/>
      <c r="G8104" s="20"/>
      <c r="H8104"/>
      <c r="I8104"/>
    </row>
    <row r="8105" spans="2:9" ht="15" x14ac:dyDescent="0.25">
      <c r="B8105"/>
      <c r="C8105"/>
      <c r="D8105"/>
      <c r="E8105"/>
      <c r="F8105"/>
      <c r="G8105" s="20"/>
      <c r="H8105"/>
      <c r="I8105"/>
    </row>
    <row r="8106" spans="2:9" ht="15" x14ac:dyDescent="0.25">
      <c r="B8106"/>
      <c r="C8106"/>
      <c r="D8106"/>
      <c r="E8106"/>
      <c r="F8106"/>
      <c r="G8106" s="20"/>
      <c r="H8106"/>
      <c r="I8106"/>
    </row>
    <row r="8107" spans="2:9" ht="15" x14ac:dyDescent="0.25">
      <c r="B8107"/>
      <c r="C8107"/>
      <c r="D8107"/>
      <c r="E8107"/>
      <c r="F8107"/>
      <c r="G8107" s="20"/>
      <c r="H8107"/>
      <c r="I8107"/>
    </row>
    <row r="8108" spans="2:9" ht="15" x14ac:dyDescent="0.25">
      <c r="B8108"/>
      <c r="C8108"/>
      <c r="D8108"/>
      <c r="E8108"/>
      <c r="F8108"/>
      <c r="G8108" s="20"/>
      <c r="H8108"/>
      <c r="I8108"/>
    </row>
    <row r="8109" spans="2:9" ht="15" x14ac:dyDescent="0.25">
      <c r="B8109"/>
      <c r="C8109"/>
      <c r="D8109"/>
      <c r="E8109"/>
      <c r="F8109"/>
      <c r="G8109" s="20"/>
      <c r="H8109"/>
      <c r="I8109"/>
    </row>
    <row r="8110" spans="2:9" ht="15" x14ac:dyDescent="0.25">
      <c r="B8110"/>
      <c r="C8110"/>
      <c r="D8110"/>
      <c r="E8110"/>
      <c r="F8110"/>
      <c r="G8110" s="20"/>
      <c r="H8110"/>
      <c r="I8110"/>
    </row>
    <row r="8111" spans="2:9" ht="15" x14ac:dyDescent="0.25">
      <c r="B8111"/>
      <c r="C8111"/>
      <c r="D8111"/>
      <c r="E8111"/>
      <c r="F8111"/>
      <c r="G8111" s="20"/>
      <c r="H8111"/>
      <c r="I8111"/>
    </row>
    <row r="8112" spans="2:9" ht="15" x14ac:dyDescent="0.25">
      <c r="B8112"/>
      <c r="C8112"/>
      <c r="D8112"/>
      <c r="E8112"/>
      <c r="F8112"/>
      <c r="G8112" s="20"/>
      <c r="H8112"/>
      <c r="I8112"/>
    </row>
    <row r="8113" spans="2:9" ht="15" x14ac:dyDescent="0.25">
      <c r="B8113"/>
      <c r="C8113"/>
      <c r="D8113"/>
      <c r="E8113"/>
      <c r="F8113"/>
      <c r="G8113" s="20"/>
      <c r="H8113"/>
      <c r="I8113"/>
    </row>
    <row r="8114" spans="2:9" ht="15" x14ac:dyDescent="0.25">
      <c r="B8114"/>
      <c r="C8114"/>
      <c r="D8114"/>
      <c r="E8114"/>
      <c r="F8114"/>
      <c r="G8114" s="20"/>
      <c r="H8114"/>
      <c r="I8114"/>
    </row>
    <row r="8115" spans="2:9" ht="15" x14ac:dyDescent="0.25">
      <c r="B8115"/>
      <c r="C8115"/>
      <c r="D8115"/>
      <c r="E8115"/>
      <c r="F8115"/>
      <c r="G8115" s="20"/>
      <c r="H8115"/>
      <c r="I8115"/>
    </row>
    <row r="8116" spans="2:9" ht="15" x14ac:dyDescent="0.25">
      <c r="B8116"/>
      <c r="C8116"/>
      <c r="D8116"/>
      <c r="E8116"/>
      <c r="F8116"/>
      <c r="G8116" s="20"/>
      <c r="H8116"/>
      <c r="I8116"/>
    </row>
    <row r="8117" spans="2:9" ht="15" x14ac:dyDescent="0.25">
      <c r="B8117"/>
      <c r="C8117"/>
      <c r="D8117"/>
      <c r="E8117"/>
      <c r="F8117"/>
      <c r="G8117" s="20"/>
      <c r="H8117"/>
      <c r="I8117"/>
    </row>
    <row r="8118" spans="2:9" ht="15" x14ac:dyDescent="0.25">
      <c r="B8118"/>
      <c r="C8118"/>
      <c r="D8118"/>
      <c r="E8118"/>
      <c r="F8118"/>
      <c r="G8118" s="20"/>
      <c r="H8118"/>
      <c r="I8118"/>
    </row>
    <row r="8119" spans="2:9" ht="15" x14ac:dyDescent="0.25">
      <c r="B8119"/>
      <c r="C8119"/>
      <c r="D8119"/>
      <c r="E8119"/>
      <c r="F8119"/>
      <c r="G8119" s="20"/>
      <c r="H8119"/>
      <c r="I8119"/>
    </row>
    <row r="8120" spans="2:9" ht="15" x14ac:dyDescent="0.25">
      <c r="B8120"/>
      <c r="C8120"/>
      <c r="D8120"/>
      <c r="E8120"/>
      <c r="F8120"/>
      <c r="G8120" s="20"/>
      <c r="H8120"/>
      <c r="I8120"/>
    </row>
    <row r="8121" spans="2:9" ht="15" x14ac:dyDescent="0.25">
      <c r="B8121"/>
      <c r="C8121"/>
      <c r="D8121"/>
      <c r="E8121"/>
      <c r="F8121"/>
      <c r="G8121" s="20"/>
      <c r="H8121"/>
      <c r="I8121"/>
    </row>
    <row r="8122" spans="2:9" ht="15" x14ac:dyDescent="0.25">
      <c r="B8122"/>
      <c r="C8122"/>
      <c r="D8122"/>
      <c r="E8122"/>
      <c r="F8122"/>
      <c r="G8122" s="20"/>
      <c r="H8122"/>
      <c r="I8122"/>
    </row>
    <row r="8123" spans="2:9" ht="15" x14ac:dyDescent="0.25">
      <c r="B8123"/>
      <c r="C8123"/>
      <c r="D8123"/>
      <c r="E8123"/>
      <c r="F8123"/>
      <c r="G8123" s="20"/>
      <c r="H8123"/>
      <c r="I8123"/>
    </row>
    <row r="8124" spans="2:9" ht="15" x14ac:dyDescent="0.25">
      <c r="B8124"/>
      <c r="C8124"/>
      <c r="D8124"/>
      <c r="E8124"/>
      <c r="F8124"/>
      <c r="G8124" s="20"/>
      <c r="H8124"/>
      <c r="I8124"/>
    </row>
    <row r="8125" spans="2:9" ht="15" x14ac:dyDescent="0.25">
      <c r="B8125"/>
      <c r="C8125"/>
      <c r="D8125"/>
      <c r="E8125"/>
      <c r="F8125"/>
      <c r="G8125" s="20"/>
      <c r="H8125"/>
      <c r="I8125"/>
    </row>
    <row r="8126" spans="2:9" ht="15" x14ac:dyDescent="0.25">
      <c r="B8126"/>
      <c r="C8126"/>
      <c r="D8126"/>
      <c r="E8126"/>
      <c r="F8126"/>
      <c r="G8126" s="20"/>
      <c r="H8126"/>
      <c r="I8126"/>
    </row>
    <row r="8127" spans="2:9" ht="15" x14ac:dyDescent="0.25">
      <c r="B8127"/>
      <c r="C8127"/>
      <c r="D8127"/>
      <c r="E8127"/>
      <c r="F8127"/>
      <c r="G8127" s="20"/>
      <c r="H8127"/>
      <c r="I8127"/>
    </row>
    <row r="8128" spans="2:9" ht="15" x14ac:dyDescent="0.25">
      <c r="B8128"/>
      <c r="C8128"/>
      <c r="D8128"/>
      <c r="E8128"/>
      <c r="F8128"/>
      <c r="G8128" s="20"/>
      <c r="H8128"/>
      <c r="I8128"/>
    </row>
    <row r="8129" spans="2:9" ht="15" x14ac:dyDescent="0.25">
      <c r="B8129"/>
      <c r="C8129"/>
      <c r="D8129"/>
      <c r="E8129"/>
      <c r="F8129"/>
      <c r="G8129" s="20"/>
      <c r="H8129"/>
      <c r="I8129"/>
    </row>
    <row r="8130" spans="2:9" ht="15" x14ac:dyDescent="0.25">
      <c r="B8130"/>
      <c r="C8130"/>
      <c r="D8130"/>
      <c r="E8130"/>
      <c r="F8130"/>
      <c r="G8130" s="20"/>
      <c r="H8130"/>
      <c r="I8130"/>
    </row>
    <row r="8131" spans="2:9" ht="15" x14ac:dyDescent="0.25">
      <c r="B8131"/>
      <c r="C8131"/>
      <c r="D8131"/>
      <c r="E8131"/>
      <c r="F8131"/>
      <c r="G8131" s="20"/>
      <c r="H8131"/>
      <c r="I8131"/>
    </row>
    <row r="8132" spans="2:9" ht="15" x14ac:dyDescent="0.25">
      <c r="B8132"/>
      <c r="C8132"/>
      <c r="D8132"/>
      <c r="E8132"/>
      <c r="F8132"/>
      <c r="G8132" s="20"/>
      <c r="H8132"/>
      <c r="I8132"/>
    </row>
    <row r="8133" spans="2:9" ht="15" x14ac:dyDescent="0.25">
      <c r="B8133"/>
      <c r="C8133"/>
      <c r="D8133"/>
      <c r="E8133"/>
      <c r="F8133"/>
      <c r="G8133" s="20"/>
      <c r="H8133"/>
      <c r="I8133"/>
    </row>
    <row r="8134" spans="2:9" ht="15" x14ac:dyDescent="0.25">
      <c r="B8134"/>
      <c r="C8134"/>
      <c r="D8134"/>
      <c r="E8134"/>
      <c r="F8134"/>
      <c r="G8134" s="20"/>
      <c r="H8134"/>
      <c r="I8134"/>
    </row>
    <row r="8135" spans="2:9" ht="15" x14ac:dyDescent="0.25">
      <c r="B8135"/>
      <c r="C8135"/>
      <c r="D8135"/>
      <c r="E8135"/>
      <c r="F8135"/>
      <c r="G8135" s="20"/>
      <c r="H8135"/>
      <c r="I8135"/>
    </row>
    <row r="8136" spans="2:9" ht="15" x14ac:dyDescent="0.25">
      <c r="B8136"/>
      <c r="C8136"/>
      <c r="D8136"/>
      <c r="E8136"/>
      <c r="F8136"/>
      <c r="G8136" s="20"/>
      <c r="H8136"/>
      <c r="I8136"/>
    </row>
    <row r="8137" spans="2:9" ht="15" x14ac:dyDescent="0.25">
      <c r="B8137"/>
      <c r="C8137"/>
      <c r="D8137"/>
      <c r="E8137"/>
      <c r="F8137"/>
      <c r="G8137" s="20"/>
      <c r="H8137"/>
      <c r="I8137"/>
    </row>
    <row r="8138" spans="2:9" ht="15" x14ac:dyDescent="0.25">
      <c r="B8138"/>
      <c r="C8138"/>
      <c r="D8138"/>
      <c r="E8138"/>
      <c r="F8138"/>
      <c r="G8138" s="20"/>
      <c r="H8138"/>
      <c r="I8138"/>
    </row>
    <row r="8139" spans="2:9" ht="15" x14ac:dyDescent="0.25">
      <c r="B8139"/>
      <c r="C8139"/>
      <c r="D8139"/>
      <c r="E8139"/>
      <c r="F8139"/>
      <c r="G8139" s="20"/>
      <c r="H8139"/>
      <c r="I8139"/>
    </row>
    <row r="8140" spans="2:9" ht="15" x14ac:dyDescent="0.25">
      <c r="B8140"/>
      <c r="C8140"/>
      <c r="D8140"/>
      <c r="E8140"/>
      <c r="F8140"/>
      <c r="G8140" s="20"/>
      <c r="H8140"/>
      <c r="I8140"/>
    </row>
    <row r="8141" spans="2:9" ht="15" x14ac:dyDescent="0.25">
      <c r="B8141"/>
      <c r="C8141"/>
      <c r="D8141"/>
      <c r="E8141"/>
      <c r="F8141"/>
      <c r="G8141" s="20"/>
      <c r="H8141"/>
      <c r="I8141"/>
    </row>
    <row r="8142" spans="2:9" ht="15" x14ac:dyDescent="0.25">
      <c r="B8142"/>
      <c r="C8142"/>
      <c r="D8142"/>
      <c r="E8142"/>
      <c r="F8142"/>
      <c r="G8142" s="20"/>
      <c r="H8142"/>
      <c r="I8142"/>
    </row>
    <row r="8143" spans="2:9" ht="15" x14ac:dyDescent="0.25">
      <c r="B8143"/>
      <c r="C8143"/>
      <c r="D8143"/>
      <c r="E8143"/>
      <c r="F8143"/>
      <c r="G8143" s="20"/>
      <c r="H8143"/>
      <c r="I8143"/>
    </row>
    <row r="8144" spans="2:9" ht="15" x14ac:dyDescent="0.25">
      <c r="B8144"/>
      <c r="C8144"/>
      <c r="D8144"/>
      <c r="E8144"/>
      <c r="F8144"/>
      <c r="G8144" s="20"/>
      <c r="H8144"/>
      <c r="I8144"/>
    </row>
    <row r="8145" spans="2:9" ht="15" x14ac:dyDescent="0.25">
      <c r="B8145"/>
      <c r="C8145"/>
      <c r="D8145"/>
      <c r="E8145"/>
      <c r="F8145"/>
      <c r="G8145" s="20"/>
      <c r="H8145"/>
      <c r="I8145"/>
    </row>
    <row r="8146" spans="2:9" ht="15" x14ac:dyDescent="0.25">
      <c r="B8146"/>
      <c r="C8146"/>
      <c r="D8146"/>
      <c r="E8146"/>
      <c r="F8146"/>
      <c r="G8146" s="20"/>
      <c r="H8146"/>
      <c r="I8146"/>
    </row>
    <row r="8147" spans="2:9" ht="15" x14ac:dyDescent="0.25">
      <c r="B8147"/>
      <c r="C8147"/>
      <c r="D8147"/>
      <c r="E8147"/>
      <c r="F8147"/>
      <c r="G8147" s="20"/>
      <c r="H8147"/>
      <c r="I8147"/>
    </row>
    <row r="8148" spans="2:9" ht="15" x14ac:dyDescent="0.25">
      <c r="B8148"/>
      <c r="C8148"/>
      <c r="D8148"/>
      <c r="E8148"/>
      <c r="F8148"/>
      <c r="G8148" s="20"/>
      <c r="H8148"/>
      <c r="I8148"/>
    </row>
    <row r="8149" spans="2:9" ht="15" x14ac:dyDescent="0.25">
      <c r="B8149"/>
      <c r="C8149"/>
      <c r="D8149"/>
      <c r="E8149"/>
      <c r="F8149"/>
      <c r="G8149" s="20"/>
      <c r="H8149"/>
      <c r="I8149"/>
    </row>
    <row r="8150" spans="2:9" ht="15" x14ac:dyDescent="0.25">
      <c r="B8150"/>
      <c r="C8150"/>
      <c r="D8150"/>
      <c r="E8150"/>
      <c r="F8150"/>
      <c r="G8150" s="20"/>
      <c r="H8150"/>
      <c r="I8150"/>
    </row>
    <row r="8151" spans="2:9" ht="15" x14ac:dyDescent="0.25">
      <c r="B8151"/>
      <c r="C8151"/>
      <c r="D8151"/>
      <c r="E8151"/>
      <c r="F8151"/>
      <c r="G8151" s="20"/>
      <c r="H8151"/>
      <c r="I8151"/>
    </row>
    <row r="8152" spans="2:9" ht="15" x14ac:dyDescent="0.25">
      <c r="B8152"/>
      <c r="C8152"/>
      <c r="D8152"/>
      <c r="E8152"/>
      <c r="F8152"/>
      <c r="G8152" s="20"/>
      <c r="H8152"/>
      <c r="I8152"/>
    </row>
    <row r="8153" spans="2:9" ht="15" x14ac:dyDescent="0.25">
      <c r="B8153"/>
      <c r="C8153"/>
      <c r="D8153"/>
      <c r="E8153"/>
      <c r="F8153"/>
      <c r="G8153" s="20"/>
      <c r="H8153"/>
      <c r="I8153"/>
    </row>
    <row r="8154" spans="2:9" ht="15" x14ac:dyDescent="0.25">
      <c r="B8154"/>
      <c r="C8154"/>
      <c r="D8154"/>
      <c r="E8154"/>
      <c r="F8154"/>
      <c r="G8154" s="20"/>
      <c r="H8154"/>
      <c r="I8154"/>
    </row>
    <row r="8155" spans="2:9" ht="15" x14ac:dyDescent="0.25">
      <c r="B8155"/>
      <c r="C8155"/>
      <c r="D8155"/>
      <c r="E8155"/>
      <c r="F8155"/>
      <c r="G8155" s="20"/>
      <c r="H8155"/>
      <c r="I8155"/>
    </row>
    <row r="8156" spans="2:9" ht="15" x14ac:dyDescent="0.25">
      <c r="B8156"/>
      <c r="C8156"/>
      <c r="D8156"/>
      <c r="E8156"/>
      <c r="F8156"/>
      <c r="G8156" s="20"/>
      <c r="H8156"/>
      <c r="I8156"/>
    </row>
    <row r="8157" spans="2:9" ht="15" x14ac:dyDescent="0.25">
      <c r="B8157"/>
      <c r="C8157"/>
      <c r="D8157"/>
      <c r="E8157"/>
      <c r="F8157"/>
      <c r="G8157" s="20"/>
      <c r="H8157"/>
      <c r="I8157"/>
    </row>
    <row r="8158" spans="2:9" ht="15" x14ac:dyDescent="0.25">
      <c r="B8158"/>
      <c r="C8158"/>
      <c r="D8158"/>
      <c r="E8158"/>
      <c r="F8158"/>
      <c r="G8158" s="20"/>
      <c r="H8158"/>
      <c r="I8158"/>
    </row>
    <row r="8159" spans="2:9" ht="15" x14ac:dyDescent="0.25">
      <c r="B8159"/>
      <c r="C8159"/>
      <c r="D8159"/>
      <c r="E8159"/>
      <c r="F8159"/>
      <c r="G8159" s="20"/>
      <c r="H8159"/>
      <c r="I8159"/>
    </row>
    <row r="8160" spans="2:9" ht="15" x14ac:dyDescent="0.25">
      <c r="B8160"/>
      <c r="C8160"/>
      <c r="D8160"/>
      <c r="E8160"/>
      <c r="F8160"/>
      <c r="G8160" s="20"/>
      <c r="H8160"/>
      <c r="I8160"/>
    </row>
    <row r="8161" spans="2:9" ht="15" x14ac:dyDescent="0.25">
      <c r="B8161"/>
      <c r="C8161"/>
      <c r="D8161"/>
      <c r="E8161"/>
      <c r="F8161"/>
      <c r="G8161" s="20"/>
      <c r="H8161"/>
      <c r="I8161"/>
    </row>
    <row r="8162" spans="2:9" ht="15" x14ac:dyDescent="0.25">
      <c r="B8162"/>
      <c r="C8162"/>
      <c r="D8162"/>
      <c r="E8162"/>
      <c r="F8162"/>
      <c r="G8162" s="20"/>
      <c r="H8162"/>
      <c r="I8162"/>
    </row>
    <row r="8163" spans="2:9" ht="15" x14ac:dyDescent="0.25">
      <c r="B8163"/>
      <c r="C8163"/>
      <c r="D8163"/>
      <c r="E8163"/>
      <c r="F8163"/>
      <c r="G8163" s="20"/>
      <c r="H8163"/>
      <c r="I8163"/>
    </row>
    <row r="8164" spans="2:9" ht="15" x14ac:dyDescent="0.25">
      <c r="B8164"/>
      <c r="C8164"/>
      <c r="D8164"/>
      <c r="E8164"/>
      <c r="F8164"/>
      <c r="G8164" s="20"/>
      <c r="H8164"/>
      <c r="I8164"/>
    </row>
    <row r="8165" spans="2:9" ht="15" x14ac:dyDescent="0.25">
      <c r="B8165"/>
      <c r="C8165"/>
      <c r="D8165"/>
      <c r="E8165"/>
      <c r="F8165"/>
      <c r="G8165" s="20"/>
      <c r="H8165"/>
      <c r="I8165"/>
    </row>
    <row r="8166" spans="2:9" ht="15" x14ac:dyDescent="0.25">
      <c r="B8166"/>
      <c r="C8166"/>
      <c r="D8166"/>
      <c r="E8166"/>
      <c r="F8166"/>
      <c r="G8166" s="20"/>
      <c r="H8166"/>
      <c r="I8166"/>
    </row>
    <row r="8167" spans="2:9" ht="15" x14ac:dyDescent="0.25">
      <c r="B8167"/>
      <c r="C8167"/>
      <c r="D8167"/>
      <c r="E8167"/>
      <c r="F8167"/>
      <c r="G8167" s="20"/>
      <c r="H8167"/>
      <c r="I8167"/>
    </row>
    <row r="8168" spans="2:9" ht="15" x14ac:dyDescent="0.25">
      <c r="B8168"/>
      <c r="C8168"/>
      <c r="D8168"/>
      <c r="E8168"/>
      <c r="F8168"/>
      <c r="G8168" s="20"/>
      <c r="H8168"/>
      <c r="I8168"/>
    </row>
    <row r="8169" spans="2:9" ht="15" x14ac:dyDescent="0.25">
      <c r="B8169"/>
      <c r="C8169"/>
      <c r="D8169"/>
      <c r="E8169"/>
      <c r="F8169"/>
      <c r="G8169" s="20"/>
      <c r="H8169"/>
      <c r="I8169"/>
    </row>
    <row r="8170" spans="2:9" ht="15" x14ac:dyDescent="0.25">
      <c r="B8170"/>
      <c r="C8170"/>
      <c r="D8170"/>
      <c r="E8170"/>
      <c r="F8170"/>
      <c r="G8170" s="20"/>
      <c r="H8170"/>
      <c r="I8170"/>
    </row>
    <row r="8171" spans="2:9" ht="15" x14ac:dyDescent="0.25">
      <c r="B8171"/>
      <c r="C8171"/>
      <c r="D8171"/>
      <c r="E8171"/>
      <c r="F8171"/>
      <c r="G8171" s="20"/>
      <c r="H8171"/>
      <c r="I8171"/>
    </row>
    <row r="8172" spans="2:9" ht="15" x14ac:dyDescent="0.25">
      <c r="B8172"/>
      <c r="C8172"/>
      <c r="D8172"/>
      <c r="E8172"/>
      <c r="F8172"/>
      <c r="G8172" s="20"/>
      <c r="H8172"/>
      <c r="I8172"/>
    </row>
    <row r="8173" spans="2:9" ht="15" x14ac:dyDescent="0.25">
      <c r="B8173"/>
      <c r="C8173"/>
      <c r="D8173"/>
      <c r="E8173"/>
      <c r="F8173"/>
      <c r="G8173" s="20"/>
      <c r="H8173"/>
      <c r="I8173"/>
    </row>
    <row r="8174" spans="2:9" ht="15" x14ac:dyDescent="0.25">
      <c r="B8174"/>
      <c r="C8174"/>
      <c r="D8174"/>
      <c r="E8174"/>
      <c r="F8174"/>
      <c r="G8174" s="20"/>
      <c r="H8174"/>
      <c r="I8174"/>
    </row>
    <row r="8175" spans="2:9" ht="15" x14ac:dyDescent="0.25">
      <c r="B8175"/>
      <c r="C8175"/>
      <c r="D8175"/>
      <c r="E8175"/>
      <c r="F8175"/>
      <c r="G8175" s="20"/>
      <c r="H8175"/>
      <c r="I8175"/>
    </row>
    <row r="8176" spans="2:9" ht="15" x14ac:dyDescent="0.25">
      <c r="B8176"/>
      <c r="C8176"/>
      <c r="D8176"/>
      <c r="E8176"/>
      <c r="F8176"/>
      <c r="G8176" s="20"/>
      <c r="H8176"/>
      <c r="I8176"/>
    </row>
    <row r="8177" spans="2:9" ht="15" x14ac:dyDescent="0.25">
      <c r="B8177"/>
      <c r="C8177"/>
      <c r="D8177"/>
      <c r="E8177"/>
      <c r="F8177"/>
      <c r="G8177" s="20"/>
      <c r="H8177"/>
      <c r="I8177"/>
    </row>
    <row r="8178" spans="2:9" ht="15" x14ac:dyDescent="0.25">
      <c r="B8178"/>
      <c r="C8178"/>
      <c r="D8178"/>
      <c r="E8178"/>
      <c r="F8178"/>
      <c r="G8178" s="20"/>
      <c r="H8178"/>
      <c r="I8178"/>
    </row>
    <row r="8179" spans="2:9" ht="15" x14ac:dyDescent="0.25">
      <c r="B8179"/>
      <c r="C8179"/>
      <c r="D8179"/>
      <c r="E8179"/>
      <c r="F8179"/>
      <c r="G8179" s="20"/>
      <c r="H8179"/>
      <c r="I8179"/>
    </row>
    <row r="8180" spans="2:9" ht="15" x14ac:dyDescent="0.25">
      <c r="B8180"/>
      <c r="C8180"/>
      <c r="D8180"/>
      <c r="E8180"/>
      <c r="F8180"/>
      <c r="G8180" s="20"/>
      <c r="H8180"/>
      <c r="I8180"/>
    </row>
    <row r="8181" spans="2:9" ht="15" x14ac:dyDescent="0.25">
      <c r="B8181"/>
      <c r="C8181"/>
      <c r="D8181"/>
      <c r="E8181"/>
      <c r="F8181"/>
      <c r="G8181" s="20"/>
      <c r="H8181"/>
      <c r="I8181"/>
    </row>
    <row r="8182" spans="2:9" ht="15" x14ac:dyDescent="0.25">
      <c r="B8182"/>
      <c r="C8182"/>
      <c r="D8182"/>
      <c r="E8182"/>
      <c r="F8182"/>
      <c r="G8182" s="20"/>
      <c r="H8182"/>
      <c r="I8182"/>
    </row>
    <row r="8183" spans="2:9" ht="15" x14ac:dyDescent="0.25">
      <c r="B8183"/>
      <c r="C8183"/>
      <c r="D8183"/>
      <c r="E8183"/>
      <c r="F8183"/>
      <c r="G8183" s="20"/>
      <c r="H8183"/>
      <c r="I8183"/>
    </row>
    <row r="8184" spans="2:9" ht="15" x14ac:dyDescent="0.25">
      <c r="B8184"/>
      <c r="C8184"/>
      <c r="D8184"/>
      <c r="E8184"/>
      <c r="F8184"/>
      <c r="G8184" s="20"/>
      <c r="H8184"/>
      <c r="I8184"/>
    </row>
    <row r="8185" spans="2:9" ht="15" x14ac:dyDescent="0.25">
      <c r="B8185"/>
      <c r="C8185"/>
      <c r="D8185"/>
      <c r="E8185"/>
      <c r="F8185"/>
      <c r="G8185" s="20"/>
      <c r="H8185"/>
      <c r="I8185"/>
    </row>
    <row r="8186" spans="2:9" ht="15" x14ac:dyDescent="0.25">
      <c r="B8186"/>
      <c r="C8186"/>
      <c r="D8186"/>
      <c r="E8186"/>
      <c r="F8186"/>
      <c r="G8186" s="20"/>
      <c r="H8186"/>
      <c r="I8186"/>
    </row>
    <row r="8187" spans="2:9" ht="15" x14ac:dyDescent="0.25">
      <c r="B8187"/>
      <c r="C8187"/>
      <c r="D8187"/>
      <c r="E8187"/>
      <c r="F8187"/>
      <c r="G8187" s="20"/>
      <c r="H8187"/>
      <c r="I8187"/>
    </row>
    <row r="8188" spans="2:9" ht="15" x14ac:dyDescent="0.25">
      <c r="B8188"/>
      <c r="C8188"/>
      <c r="D8188"/>
      <c r="E8188"/>
      <c r="F8188"/>
      <c r="G8188" s="20"/>
      <c r="H8188"/>
      <c r="I8188"/>
    </row>
    <row r="8189" spans="2:9" ht="15" x14ac:dyDescent="0.25">
      <c r="B8189"/>
      <c r="C8189"/>
      <c r="D8189"/>
      <c r="E8189"/>
      <c r="F8189"/>
      <c r="G8189" s="20"/>
      <c r="H8189"/>
      <c r="I8189"/>
    </row>
    <row r="8190" spans="2:9" ht="15" x14ac:dyDescent="0.25">
      <c r="B8190"/>
      <c r="C8190"/>
      <c r="D8190"/>
      <c r="E8190"/>
      <c r="F8190"/>
      <c r="G8190" s="20"/>
      <c r="H8190"/>
      <c r="I8190"/>
    </row>
    <row r="8191" spans="2:9" ht="15" x14ac:dyDescent="0.25">
      <c r="B8191"/>
      <c r="C8191"/>
      <c r="D8191"/>
      <c r="E8191"/>
      <c r="F8191"/>
      <c r="G8191" s="20"/>
      <c r="H8191"/>
      <c r="I8191"/>
    </row>
    <row r="8192" spans="2:9" ht="15" x14ac:dyDescent="0.25">
      <c r="B8192"/>
      <c r="C8192"/>
      <c r="D8192"/>
      <c r="E8192"/>
      <c r="F8192"/>
      <c r="G8192" s="20"/>
      <c r="H8192"/>
      <c r="I8192"/>
    </row>
    <row r="8193" spans="2:9" ht="15" x14ac:dyDescent="0.25">
      <c r="B8193"/>
      <c r="C8193"/>
      <c r="D8193"/>
      <c r="E8193"/>
      <c r="F8193"/>
      <c r="G8193" s="20"/>
      <c r="H8193"/>
      <c r="I8193"/>
    </row>
    <row r="8194" spans="2:9" ht="15" x14ac:dyDescent="0.25">
      <c r="B8194"/>
      <c r="C8194"/>
      <c r="D8194"/>
      <c r="E8194"/>
      <c r="F8194"/>
      <c r="G8194" s="20"/>
      <c r="H8194"/>
      <c r="I8194"/>
    </row>
    <row r="8195" spans="2:9" ht="15" x14ac:dyDescent="0.25">
      <c r="B8195"/>
      <c r="C8195"/>
      <c r="D8195"/>
      <c r="E8195"/>
      <c r="F8195"/>
      <c r="G8195" s="20"/>
      <c r="H8195"/>
      <c r="I8195"/>
    </row>
    <row r="8196" spans="2:9" ht="15" x14ac:dyDescent="0.25">
      <c r="B8196"/>
      <c r="C8196"/>
      <c r="D8196"/>
      <c r="E8196"/>
      <c r="F8196"/>
      <c r="G8196" s="20"/>
      <c r="H8196"/>
      <c r="I8196"/>
    </row>
    <row r="8197" spans="2:9" ht="15" x14ac:dyDescent="0.25">
      <c r="B8197"/>
      <c r="C8197"/>
      <c r="D8197"/>
      <c r="E8197"/>
      <c r="F8197"/>
      <c r="G8197" s="20"/>
      <c r="H8197"/>
      <c r="I8197"/>
    </row>
    <row r="8198" spans="2:9" ht="15" x14ac:dyDescent="0.25">
      <c r="B8198"/>
      <c r="C8198"/>
      <c r="D8198"/>
      <c r="E8198"/>
      <c r="F8198"/>
      <c r="G8198" s="20"/>
      <c r="H8198"/>
      <c r="I8198"/>
    </row>
    <row r="8199" spans="2:9" ht="15" x14ac:dyDescent="0.25">
      <c r="B8199"/>
      <c r="C8199"/>
      <c r="D8199"/>
      <c r="E8199"/>
      <c r="F8199"/>
      <c r="G8199" s="20"/>
      <c r="H8199"/>
      <c r="I8199"/>
    </row>
    <row r="8200" spans="2:9" ht="15" x14ac:dyDescent="0.25">
      <c r="B8200"/>
      <c r="C8200"/>
      <c r="D8200"/>
      <c r="E8200"/>
      <c r="F8200"/>
      <c r="G8200" s="20"/>
      <c r="H8200"/>
      <c r="I8200"/>
    </row>
    <row r="8201" spans="2:9" ht="15" x14ac:dyDescent="0.25">
      <c r="B8201"/>
      <c r="C8201"/>
      <c r="D8201"/>
      <c r="E8201"/>
      <c r="F8201"/>
      <c r="G8201" s="20"/>
      <c r="H8201"/>
      <c r="I8201"/>
    </row>
    <row r="8202" spans="2:9" ht="15" x14ac:dyDescent="0.25">
      <c r="B8202"/>
      <c r="C8202"/>
      <c r="D8202"/>
      <c r="E8202"/>
      <c r="F8202"/>
      <c r="G8202" s="20"/>
      <c r="H8202"/>
      <c r="I8202"/>
    </row>
    <row r="8203" spans="2:9" ht="15" x14ac:dyDescent="0.25">
      <c r="B8203"/>
      <c r="C8203"/>
      <c r="D8203"/>
      <c r="E8203"/>
      <c r="F8203"/>
      <c r="G8203" s="20"/>
      <c r="H8203"/>
      <c r="I8203"/>
    </row>
    <row r="8204" spans="2:9" ht="15" x14ac:dyDescent="0.25">
      <c r="B8204"/>
      <c r="C8204"/>
      <c r="D8204"/>
      <c r="E8204"/>
      <c r="F8204"/>
      <c r="G8204" s="20"/>
      <c r="H8204"/>
      <c r="I8204"/>
    </row>
    <row r="8205" spans="2:9" ht="15" x14ac:dyDescent="0.25">
      <c r="B8205"/>
      <c r="C8205"/>
      <c r="D8205"/>
      <c r="E8205"/>
      <c r="F8205"/>
      <c r="G8205" s="20"/>
      <c r="H8205"/>
      <c r="I8205"/>
    </row>
    <row r="8206" spans="2:9" ht="15" x14ac:dyDescent="0.25">
      <c r="B8206"/>
      <c r="C8206"/>
      <c r="D8206"/>
      <c r="E8206"/>
      <c r="F8206"/>
      <c r="G8206" s="20"/>
      <c r="H8206"/>
      <c r="I8206"/>
    </row>
    <row r="8207" spans="2:9" ht="15" x14ac:dyDescent="0.25">
      <c r="B8207"/>
      <c r="C8207"/>
      <c r="D8207"/>
      <c r="E8207"/>
      <c r="F8207"/>
      <c r="G8207" s="20"/>
      <c r="H8207"/>
      <c r="I8207"/>
    </row>
    <row r="8208" spans="2:9" ht="15" x14ac:dyDescent="0.25">
      <c r="B8208"/>
      <c r="C8208"/>
      <c r="D8208"/>
      <c r="E8208"/>
      <c r="F8208"/>
      <c r="G8208" s="20"/>
      <c r="H8208"/>
      <c r="I8208"/>
    </row>
    <row r="8209" spans="2:9" ht="15" x14ac:dyDescent="0.25">
      <c r="B8209"/>
      <c r="C8209"/>
      <c r="D8209"/>
      <c r="E8209"/>
      <c r="F8209"/>
      <c r="G8209" s="20"/>
      <c r="H8209"/>
      <c r="I8209"/>
    </row>
    <row r="8210" spans="2:9" ht="15" x14ac:dyDescent="0.25">
      <c r="B8210"/>
      <c r="C8210"/>
      <c r="D8210"/>
      <c r="E8210"/>
      <c r="F8210"/>
      <c r="G8210" s="20"/>
      <c r="H8210"/>
      <c r="I8210"/>
    </row>
    <row r="8211" spans="2:9" ht="15" x14ac:dyDescent="0.25">
      <c r="B8211"/>
      <c r="C8211"/>
      <c r="D8211"/>
      <c r="E8211"/>
      <c r="F8211"/>
      <c r="G8211" s="20"/>
      <c r="H8211"/>
      <c r="I8211"/>
    </row>
    <row r="8212" spans="2:9" ht="15" x14ac:dyDescent="0.25">
      <c r="B8212"/>
      <c r="C8212"/>
      <c r="D8212"/>
      <c r="E8212"/>
      <c r="F8212"/>
      <c r="G8212" s="20"/>
      <c r="H8212"/>
      <c r="I8212"/>
    </row>
    <row r="8213" spans="2:9" ht="15" x14ac:dyDescent="0.25">
      <c r="B8213"/>
      <c r="C8213"/>
      <c r="D8213"/>
      <c r="E8213"/>
      <c r="F8213"/>
      <c r="G8213" s="20"/>
      <c r="H8213"/>
      <c r="I8213"/>
    </row>
    <row r="8214" spans="2:9" ht="15" x14ac:dyDescent="0.25">
      <c r="B8214"/>
      <c r="C8214"/>
      <c r="D8214"/>
      <c r="E8214"/>
      <c r="F8214"/>
      <c r="G8214" s="20"/>
      <c r="H8214"/>
      <c r="I8214"/>
    </row>
    <row r="8215" spans="2:9" ht="15" x14ac:dyDescent="0.25">
      <c r="B8215"/>
      <c r="C8215"/>
      <c r="D8215"/>
      <c r="E8215"/>
      <c r="F8215"/>
      <c r="G8215" s="20"/>
      <c r="H8215"/>
      <c r="I8215"/>
    </row>
    <row r="8216" spans="2:9" ht="15" x14ac:dyDescent="0.25">
      <c r="B8216"/>
      <c r="C8216"/>
      <c r="D8216"/>
      <c r="E8216"/>
      <c r="F8216"/>
      <c r="G8216" s="20"/>
      <c r="H8216"/>
      <c r="I8216"/>
    </row>
    <row r="8217" spans="2:9" ht="15" x14ac:dyDescent="0.25">
      <c r="B8217"/>
      <c r="C8217"/>
      <c r="D8217"/>
      <c r="E8217"/>
      <c r="F8217"/>
      <c r="G8217" s="20"/>
      <c r="H8217"/>
      <c r="I8217"/>
    </row>
    <row r="8218" spans="2:9" ht="15" x14ac:dyDescent="0.25">
      <c r="B8218"/>
      <c r="C8218"/>
      <c r="D8218"/>
      <c r="E8218"/>
      <c r="F8218"/>
      <c r="G8218" s="20"/>
      <c r="H8218"/>
      <c r="I8218"/>
    </row>
    <row r="8219" spans="2:9" ht="15" x14ac:dyDescent="0.25">
      <c r="B8219"/>
      <c r="C8219"/>
      <c r="D8219"/>
      <c r="E8219"/>
      <c r="F8219"/>
      <c r="G8219" s="20"/>
      <c r="H8219"/>
      <c r="I8219"/>
    </row>
    <row r="8220" spans="2:9" ht="15" x14ac:dyDescent="0.25">
      <c r="B8220"/>
      <c r="C8220"/>
      <c r="D8220"/>
      <c r="E8220"/>
      <c r="F8220"/>
      <c r="G8220" s="20"/>
      <c r="H8220"/>
      <c r="I8220"/>
    </row>
    <row r="8221" spans="2:9" ht="15" x14ac:dyDescent="0.25">
      <c r="B8221"/>
      <c r="C8221"/>
      <c r="D8221"/>
      <c r="E8221"/>
      <c r="F8221"/>
      <c r="G8221" s="20"/>
      <c r="H8221"/>
      <c r="I8221"/>
    </row>
    <row r="8222" spans="2:9" ht="15" x14ac:dyDescent="0.25">
      <c r="B8222"/>
      <c r="C8222"/>
      <c r="D8222"/>
      <c r="E8222"/>
      <c r="F8222"/>
      <c r="G8222" s="20"/>
      <c r="H8222"/>
      <c r="I8222"/>
    </row>
    <row r="8223" spans="2:9" ht="15" x14ac:dyDescent="0.25">
      <c r="B8223"/>
      <c r="C8223"/>
      <c r="D8223"/>
      <c r="E8223"/>
      <c r="F8223"/>
      <c r="G8223" s="20"/>
      <c r="H8223"/>
      <c r="I8223"/>
    </row>
    <row r="8224" spans="2:9" ht="15" x14ac:dyDescent="0.25">
      <c r="B8224"/>
      <c r="C8224"/>
      <c r="D8224"/>
      <c r="E8224"/>
      <c r="F8224"/>
      <c r="G8224" s="20"/>
      <c r="H8224"/>
      <c r="I8224"/>
    </row>
    <row r="8225" spans="2:9" ht="15" x14ac:dyDescent="0.25">
      <c r="B8225"/>
      <c r="C8225"/>
      <c r="D8225"/>
      <c r="E8225"/>
      <c r="F8225"/>
      <c r="G8225" s="20"/>
      <c r="H8225"/>
      <c r="I8225"/>
    </row>
    <row r="8226" spans="2:9" ht="15" x14ac:dyDescent="0.25">
      <c r="B8226"/>
      <c r="C8226"/>
      <c r="D8226"/>
      <c r="E8226"/>
      <c r="F8226"/>
      <c r="G8226" s="20"/>
      <c r="H8226"/>
      <c r="I8226"/>
    </row>
    <row r="8227" spans="2:9" ht="15" x14ac:dyDescent="0.25">
      <c r="B8227"/>
      <c r="C8227"/>
      <c r="D8227"/>
      <c r="E8227"/>
      <c r="F8227"/>
      <c r="G8227" s="20"/>
      <c r="H8227"/>
      <c r="I8227"/>
    </row>
    <row r="8228" spans="2:9" ht="15" x14ac:dyDescent="0.25">
      <c r="B8228"/>
      <c r="C8228"/>
      <c r="D8228"/>
      <c r="E8228"/>
      <c r="F8228"/>
      <c r="G8228" s="20"/>
      <c r="H8228"/>
      <c r="I8228"/>
    </row>
    <row r="8229" spans="2:9" ht="15" x14ac:dyDescent="0.25">
      <c r="B8229"/>
      <c r="C8229"/>
      <c r="D8229"/>
      <c r="E8229"/>
      <c r="F8229"/>
      <c r="G8229" s="20"/>
      <c r="H8229"/>
      <c r="I8229"/>
    </row>
    <row r="8230" spans="2:9" ht="15" x14ac:dyDescent="0.25">
      <c r="B8230"/>
      <c r="C8230"/>
      <c r="D8230"/>
      <c r="E8230"/>
      <c r="F8230"/>
      <c r="G8230" s="20"/>
      <c r="H8230"/>
      <c r="I8230"/>
    </row>
    <row r="8231" spans="2:9" ht="15" x14ac:dyDescent="0.25">
      <c r="B8231"/>
      <c r="C8231"/>
      <c r="D8231"/>
      <c r="E8231"/>
      <c r="F8231"/>
      <c r="G8231" s="20"/>
      <c r="H8231"/>
      <c r="I8231"/>
    </row>
    <row r="8232" spans="2:9" ht="15" x14ac:dyDescent="0.25">
      <c r="B8232"/>
      <c r="C8232"/>
      <c r="D8232"/>
      <c r="E8232"/>
      <c r="F8232"/>
      <c r="G8232" s="20"/>
      <c r="H8232"/>
      <c r="I8232"/>
    </row>
    <row r="8233" spans="2:9" ht="15" x14ac:dyDescent="0.25">
      <c r="B8233"/>
      <c r="C8233"/>
      <c r="D8233"/>
      <c r="E8233"/>
      <c r="F8233"/>
      <c r="G8233" s="20"/>
      <c r="H8233"/>
      <c r="I8233"/>
    </row>
    <row r="8234" spans="2:9" ht="15" x14ac:dyDescent="0.25">
      <c r="B8234"/>
      <c r="C8234"/>
      <c r="D8234"/>
      <c r="E8234"/>
      <c r="F8234"/>
      <c r="G8234" s="20"/>
      <c r="H8234"/>
      <c r="I8234"/>
    </row>
    <row r="8235" spans="2:9" ht="15" x14ac:dyDescent="0.25">
      <c r="B8235"/>
      <c r="C8235"/>
      <c r="D8235"/>
      <c r="E8235"/>
      <c r="F8235"/>
      <c r="G8235" s="20"/>
      <c r="H8235"/>
      <c r="I8235"/>
    </row>
    <row r="8236" spans="2:9" ht="15" x14ac:dyDescent="0.25">
      <c r="B8236"/>
      <c r="C8236"/>
      <c r="D8236"/>
      <c r="E8236"/>
      <c r="F8236"/>
      <c r="G8236" s="20"/>
      <c r="H8236"/>
      <c r="I8236"/>
    </row>
    <row r="8237" spans="2:9" ht="15" x14ac:dyDescent="0.25">
      <c r="B8237"/>
      <c r="C8237"/>
      <c r="D8237"/>
      <c r="E8237"/>
      <c r="F8237"/>
      <c r="G8237" s="20"/>
      <c r="H8237"/>
      <c r="I8237"/>
    </row>
    <row r="8238" spans="2:9" ht="15" x14ac:dyDescent="0.25">
      <c r="B8238"/>
      <c r="C8238"/>
      <c r="D8238"/>
      <c r="E8238"/>
      <c r="F8238"/>
      <c r="G8238" s="20"/>
      <c r="H8238"/>
      <c r="I8238"/>
    </row>
    <row r="8239" spans="2:9" ht="15" x14ac:dyDescent="0.25">
      <c r="B8239"/>
      <c r="C8239"/>
      <c r="D8239"/>
      <c r="E8239"/>
      <c r="F8239"/>
      <c r="G8239" s="20"/>
      <c r="H8239"/>
      <c r="I8239"/>
    </row>
    <row r="8240" spans="2:9" ht="15" x14ac:dyDescent="0.25">
      <c r="B8240"/>
      <c r="C8240"/>
      <c r="D8240"/>
      <c r="E8240"/>
      <c r="F8240"/>
      <c r="G8240" s="20"/>
      <c r="H8240"/>
      <c r="I8240"/>
    </row>
    <row r="8241" spans="2:9" ht="15" x14ac:dyDescent="0.25">
      <c r="B8241"/>
      <c r="C8241"/>
      <c r="D8241"/>
      <c r="E8241"/>
      <c r="F8241"/>
      <c r="G8241" s="20"/>
      <c r="H8241"/>
      <c r="I8241"/>
    </row>
    <row r="8242" spans="2:9" ht="15" x14ac:dyDescent="0.25">
      <c r="B8242"/>
      <c r="C8242"/>
      <c r="D8242"/>
      <c r="E8242"/>
      <c r="F8242"/>
      <c r="G8242" s="20"/>
      <c r="H8242"/>
      <c r="I8242"/>
    </row>
    <row r="8243" spans="2:9" ht="15" x14ac:dyDescent="0.25">
      <c r="B8243"/>
      <c r="C8243"/>
      <c r="D8243"/>
      <c r="E8243"/>
      <c r="F8243"/>
      <c r="G8243" s="20"/>
      <c r="H8243"/>
      <c r="I8243"/>
    </row>
    <row r="8244" spans="2:9" ht="15" x14ac:dyDescent="0.25">
      <c r="B8244"/>
      <c r="C8244"/>
      <c r="D8244"/>
      <c r="E8244"/>
      <c r="F8244"/>
      <c r="G8244" s="20"/>
      <c r="H8244"/>
      <c r="I8244"/>
    </row>
    <row r="8245" spans="2:9" ht="15" x14ac:dyDescent="0.25">
      <c r="B8245"/>
      <c r="C8245"/>
      <c r="D8245"/>
      <c r="E8245"/>
      <c r="F8245"/>
      <c r="G8245" s="20"/>
      <c r="H8245"/>
      <c r="I8245"/>
    </row>
    <row r="8246" spans="2:9" ht="15" x14ac:dyDescent="0.25">
      <c r="B8246"/>
      <c r="C8246"/>
      <c r="D8246"/>
      <c r="E8246"/>
      <c r="F8246"/>
      <c r="G8246" s="20"/>
      <c r="H8246"/>
      <c r="I8246"/>
    </row>
    <row r="8247" spans="2:9" ht="15" x14ac:dyDescent="0.25">
      <c r="B8247"/>
      <c r="C8247"/>
      <c r="D8247"/>
      <c r="E8247"/>
      <c r="F8247"/>
      <c r="G8247" s="20"/>
      <c r="H8247"/>
      <c r="I8247"/>
    </row>
    <row r="8248" spans="2:9" ht="15" x14ac:dyDescent="0.25">
      <c r="B8248"/>
      <c r="C8248"/>
      <c r="D8248"/>
      <c r="E8248"/>
      <c r="F8248"/>
      <c r="G8248" s="20"/>
      <c r="H8248"/>
      <c r="I8248"/>
    </row>
    <row r="8249" spans="2:9" ht="15" x14ac:dyDescent="0.25">
      <c r="B8249"/>
      <c r="C8249"/>
      <c r="D8249"/>
      <c r="E8249"/>
      <c r="F8249"/>
      <c r="G8249" s="20"/>
      <c r="H8249"/>
      <c r="I8249"/>
    </row>
    <row r="8250" spans="2:9" ht="15" x14ac:dyDescent="0.25">
      <c r="B8250"/>
      <c r="C8250"/>
      <c r="D8250"/>
      <c r="E8250"/>
      <c r="F8250"/>
      <c r="G8250" s="20"/>
      <c r="H8250"/>
      <c r="I8250"/>
    </row>
    <row r="8251" spans="2:9" ht="15" x14ac:dyDescent="0.25">
      <c r="B8251"/>
      <c r="C8251"/>
      <c r="D8251"/>
      <c r="E8251"/>
      <c r="F8251"/>
      <c r="G8251" s="20"/>
      <c r="H8251"/>
      <c r="I8251"/>
    </row>
    <row r="8252" spans="2:9" ht="15" x14ac:dyDescent="0.25">
      <c r="B8252"/>
      <c r="C8252"/>
      <c r="D8252"/>
      <c r="E8252"/>
      <c r="F8252"/>
      <c r="G8252" s="20"/>
      <c r="H8252"/>
      <c r="I8252"/>
    </row>
    <row r="8253" spans="2:9" ht="15" x14ac:dyDescent="0.25">
      <c r="B8253"/>
      <c r="C8253"/>
      <c r="D8253"/>
      <c r="E8253"/>
      <c r="F8253"/>
      <c r="G8253" s="20"/>
      <c r="H8253"/>
      <c r="I8253"/>
    </row>
    <row r="8254" spans="2:9" ht="15" x14ac:dyDescent="0.25">
      <c r="B8254"/>
      <c r="C8254"/>
      <c r="D8254"/>
      <c r="E8254"/>
      <c r="F8254"/>
      <c r="G8254" s="20"/>
      <c r="H8254"/>
      <c r="I8254"/>
    </row>
    <row r="8255" spans="2:9" ht="15" x14ac:dyDescent="0.25">
      <c r="B8255"/>
      <c r="C8255"/>
      <c r="D8255"/>
      <c r="E8255"/>
      <c r="F8255"/>
      <c r="G8255" s="20"/>
      <c r="H8255"/>
      <c r="I8255"/>
    </row>
    <row r="8256" spans="2:9" ht="15" x14ac:dyDescent="0.25">
      <c r="B8256"/>
      <c r="C8256"/>
      <c r="D8256"/>
      <c r="E8256"/>
      <c r="F8256"/>
      <c r="G8256" s="20"/>
      <c r="H8256"/>
      <c r="I8256"/>
    </row>
    <row r="8257" spans="2:9" ht="15" x14ac:dyDescent="0.25">
      <c r="B8257"/>
      <c r="C8257"/>
      <c r="D8257"/>
      <c r="E8257"/>
      <c r="F8257"/>
      <c r="G8257" s="20"/>
      <c r="H8257"/>
      <c r="I8257"/>
    </row>
    <row r="8258" spans="2:9" ht="15" x14ac:dyDescent="0.25">
      <c r="B8258"/>
      <c r="C8258"/>
      <c r="D8258"/>
      <c r="E8258"/>
      <c r="F8258"/>
      <c r="G8258" s="20"/>
      <c r="H8258"/>
      <c r="I8258"/>
    </row>
    <row r="8259" spans="2:9" ht="15" x14ac:dyDescent="0.25">
      <c r="B8259"/>
      <c r="C8259"/>
      <c r="D8259"/>
      <c r="E8259"/>
      <c r="F8259"/>
      <c r="G8259" s="20"/>
      <c r="H8259"/>
      <c r="I8259"/>
    </row>
    <row r="8260" spans="2:9" ht="15" x14ac:dyDescent="0.25">
      <c r="B8260"/>
      <c r="C8260"/>
      <c r="D8260"/>
      <c r="E8260"/>
      <c r="F8260"/>
      <c r="G8260" s="20"/>
      <c r="H8260"/>
      <c r="I8260"/>
    </row>
    <row r="8261" spans="2:9" ht="15" x14ac:dyDescent="0.25">
      <c r="B8261"/>
      <c r="C8261"/>
      <c r="D8261"/>
      <c r="E8261"/>
      <c r="F8261"/>
      <c r="G8261" s="20"/>
      <c r="H8261"/>
      <c r="I8261"/>
    </row>
    <row r="8262" spans="2:9" ht="15" x14ac:dyDescent="0.25">
      <c r="B8262"/>
      <c r="C8262"/>
      <c r="D8262"/>
      <c r="E8262"/>
      <c r="F8262"/>
      <c r="G8262" s="20"/>
      <c r="H8262"/>
      <c r="I8262"/>
    </row>
    <row r="8263" spans="2:9" ht="15" x14ac:dyDescent="0.25">
      <c r="B8263"/>
      <c r="C8263"/>
      <c r="D8263"/>
      <c r="E8263"/>
      <c r="F8263"/>
      <c r="G8263" s="20"/>
      <c r="H8263"/>
      <c r="I8263"/>
    </row>
    <row r="8264" spans="2:9" ht="15" x14ac:dyDescent="0.25">
      <c r="B8264"/>
      <c r="C8264"/>
      <c r="D8264"/>
      <c r="E8264"/>
      <c r="F8264"/>
      <c r="G8264" s="20"/>
      <c r="H8264"/>
      <c r="I8264"/>
    </row>
    <row r="8265" spans="2:9" ht="15" x14ac:dyDescent="0.25">
      <c r="B8265"/>
      <c r="C8265"/>
      <c r="D8265"/>
      <c r="E8265"/>
      <c r="F8265"/>
      <c r="G8265" s="20"/>
      <c r="H8265"/>
      <c r="I8265"/>
    </row>
    <row r="8266" spans="2:9" ht="15" x14ac:dyDescent="0.25">
      <c r="B8266"/>
      <c r="C8266"/>
      <c r="D8266"/>
      <c r="E8266"/>
      <c r="F8266"/>
      <c r="G8266" s="20"/>
      <c r="H8266"/>
      <c r="I8266"/>
    </row>
    <row r="8267" spans="2:9" ht="15" x14ac:dyDescent="0.25">
      <c r="B8267"/>
      <c r="C8267"/>
      <c r="D8267"/>
      <c r="E8267"/>
      <c r="F8267"/>
      <c r="G8267" s="20"/>
      <c r="H8267"/>
      <c r="I8267"/>
    </row>
    <row r="8268" spans="2:9" ht="15" x14ac:dyDescent="0.25">
      <c r="B8268"/>
      <c r="C8268"/>
      <c r="D8268"/>
      <c r="E8268"/>
      <c r="F8268"/>
      <c r="G8268" s="20"/>
      <c r="H8268"/>
      <c r="I8268"/>
    </row>
    <row r="8269" spans="2:9" ht="15" x14ac:dyDescent="0.25">
      <c r="B8269"/>
      <c r="C8269"/>
      <c r="D8269"/>
      <c r="E8269"/>
      <c r="F8269"/>
      <c r="G8269" s="20"/>
      <c r="H8269"/>
      <c r="I8269"/>
    </row>
    <row r="8270" spans="2:9" ht="15" x14ac:dyDescent="0.25">
      <c r="B8270"/>
      <c r="C8270"/>
      <c r="D8270"/>
      <c r="E8270"/>
      <c r="F8270"/>
      <c r="G8270" s="20"/>
      <c r="H8270"/>
      <c r="I8270"/>
    </row>
    <row r="8271" spans="2:9" ht="15" x14ac:dyDescent="0.25">
      <c r="B8271"/>
      <c r="C8271"/>
      <c r="D8271"/>
      <c r="E8271"/>
      <c r="F8271"/>
      <c r="G8271" s="20"/>
      <c r="H8271"/>
      <c r="I8271"/>
    </row>
    <row r="8272" spans="2:9" ht="15" x14ac:dyDescent="0.25">
      <c r="B8272"/>
      <c r="C8272"/>
      <c r="D8272"/>
      <c r="E8272"/>
      <c r="F8272"/>
      <c r="G8272" s="20"/>
      <c r="H8272"/>
      <c r="I8272"/>
    </row>
    <row r="8273" spans="2:9" ht="15" x14ac:dyDescent="0.25">
      <c r="B8273"/>
      <c r="C8273"/>
      <c r="D8273"/>
      <c r="E8273"/>
      <c r="F8273"/>
      <c r="G8273" s="20"/>
      <c r="H8273"/>
      <c r="I8273"/>
    </row>
    <row r="8274" spans="2:9" ht="15" x14ac:dyDescent="0.25">
      <c r="B8274"/>
      <c r="C8274"/>
      <c r="D8274"/>
      <c r="E8274"/>
      <c r="F8274"/>
      <c r="G8274" s="20"/>
      <c r="H8274"/>
      <c r="I8274"/>
    </row>
    <row r="8275" spans="2:9" ht="15" x14ac:dyDescent="0.25">
      <c r="B8275"/>
      <c r="C8275"/>
      <c r="D8275"/>
      <c r="E8275"/>
      <c r="F8275"/>
      <c r="G8275" s="20"/>
      <c r="H8275"/>
      <c r="I8275"/>
    </row>
    <row r="8276" spans="2:9" ht="15" x14ac:dyDescent="0.25">
      <c r="B8276"/>
      <c r="C8276"/>
      <c r="D8276"/>
      <c r="E8276"/>
      <c r="F8276"/>
      <c r="G8276" s="20"/>
      <c r="H8276"/>
      <c r="I8276"/>
    </row>
    <row r="8277" spans="2:9" ht="15" x14ac:dyDescent="0.25">
      <c r="B8277"/>
      <c r="C8277"/>
      <c r="D8277"/>
      <c r="E8277"/>
      <c r="F8277"/>
      <c r="G8277" s="20"/>
      <c r="H8277"/>
      <c r="I8277"/>
    </row>
    <row r="8278" spans="2:9" ht="15" x14ac:dyDescent="0.25">
      <c r="B8278"/>
      <c r="C8278"/>
      <c r="D8278"/>
      <c r="E8278"/>
      <c r="F8278"/>
      <c r="G8278" s="20"/>
      <c r="H8278"/>
      <c r="I8278"/>
    </row>
    <row r="8279" spans="2:9" ht="15" x14ac:dyDescent="0.25">
      <c r="B8279"/>
      <c r="C8279"/>
      <c r="D8279"/>
      <c r="E8279"/>
      <c r="F8279"/>
      <c r="G8279" s="20"/>
      <c r="H8279"/>
      <c r="I8279"/>
    </row>
    <row r="8280" spans="2:9" ht="15" x14ac:dyDescent="0.25">
      <c r="B8280"/>
      <c r="C8280"/>
      <c r="D8280"/>
      <c r="E8280"/>
      <c r="F8280"/>
      <c r="G8280" s="20"/>
      <c r="H8280"/>
      <c r="I8280"/>
    </row>
    <row r="8281" spans="2:9" ht="15" x14ac:dyDescent="0.25">
      <c r="B8281"/>
      <c r="C8281"/>
      <c r="D8281"/>
      <c r="E8281"/>
      <c r="F8281"/>
      <c r="G8281" s="20"/>
      <c r="H8281"/>
      <c r="I8281"/>
    </row>
    <row r="8282" spans="2:9" ht="15" x14ac:dyDescent="0.25">
      <c r="B8282"/>
      <c r="C8282"/>
      <c r="D8282"/>
      <c r="E8282"/>
      <c r="F8282"/>
      <c r="G8282" s="20"/>
      <c r="H8282"/>
      <c r="I8282"/>
    </row>
    <row r="8283" spans="2:9" ht="15" x14ac:dyDescent="0.25">
      <c r="B8283"/>
      <c r="C8283"/>
      <c r="D8283"/>
      <c r="E8283"/>
      <c r="F8283"/>
      <c r="G8283" s="20"/>
      <c r="H8283"/>
      <c r="I8283"/>
    </row>
    <row r="8284" spans="2:9" ht="15" x14ac:dyDescent="0.25">
      <c r="B8284"/>
      <c r="C8284"/>
      <c r="D8284"/>
      <c r="E8284"/>
      <c r="F8284"/>
      <c r="G8284" s="20"/>
      <c r="H8284"/>
      <c r="I8284"/>
    </row>
    <row r="8285" spans="2:9" ht="15" x14ac:dyDescent="0.25">
      <c r="B8285"/>
      <c r="C8285"/>
      <c r="D8285"/>
      <c r="E8285"/>
      <c r="F8285"/>
      <c r="G8285" s="20"/>
      <c r="H8285"/>
      <c r="I8285"/>
    </row>
    <row r="8286" spans="2:9" ht="15" x14ac:dyDescent="0.25">
      <c r="B8286"/>
      <c r="C8286"/>
      <c r="D8286"/>
      <c r="E8286"/>
      <c r="F8286"/>
      <c r="G8286" s="20"/>
      <c r="H8286"/>
      <c r="I8286"/>
    </row>
    <row r="8287" spans="2:9" ht="15" x14ac:dyDescent="0.25">
      <c r="B8287"/>
      <c r="C8287"/>
      <c r="D8287"/>
      <c r="E8287"/>
      <c r="F8287"/>
      <c r="G8287" s="20"/>
      <c r="H8287"/>
      <c r="I8287"/>
    </row>
    <row r="8288" spans="2:9" ht="15" x14ac:dyDescent="0.25">
      <c r="B8288"/>
      <c r="C8288"/>
      <c r="D8288"/>
      <c r="E8288"/>
      <c r="F8288"/>
      <c r="G8288" s="20"/>
      <c r="H8288"/>
      <c r="I8288"/>
    </row>
    <row r="8289" spans="2:9" ht="15" x14ac:dyDescent="0.25">
      <c r="B8289"/>
      <c r="C8289"/>
      <c r="D8289"/>
      <c r="E8289"/>
      <c r="F8289"/>
      <c r="G8289" s="20"/>
      <c r="H8289"/>
      <c r="I8289"/>
    </row>
    <row r="8290" spans="2:9" ht="15" x14ac:dyDescent="0.25">
      <c r="B8290"/>
      <c r="C8290"/>
      <c r="D8290"/>
      <c r="E8290"/>
      <c r="F8290"/>
      <c r="G8290" s="20"/>
      <c r="H8290"/>
      <c r="I8290"/>
    </row>
    <row r="8291" spans="2:9" ht="15" x14ac:dyDescent="0.25">
      <c r="B8291"/>
      <c r="C8291"/>
      <c r="D8291"/>
      <c r="E8291"/>
      <c r="F8291"/>
      <c r="G8291" s="20"/>
      <c r="H8291"/>
      <c r="I8291"/>
    </row>
    <row r="8292" spans="2:9" ht="15" x14ac:dyDescent="0.25">
      <c r="B8292"/>
      <c r="C8292"/>
      <c r="D8292"/>
      <c r="E8292"/>
      <c r="F8292"/>
      <c r="G8292" s="20"/>
      <c r="H8292"/>
      <c r="I8292"/>
    </row>
    <row r="8293" spans="2:9" ht="15" x14ac:dyDescent="0.25">
      <c r="B8293"/>
      <c r="C8293"/>
      <c r="D8293"/>
      <c r="E8293"/>
      <c r="F8293"/>
      <c r="G8293" s="20"/>
      <c r="H8293"/>
      <c r="I8293"/>
    </row>
    <row r="8294" spans="2:9" ht="15" x14ac:dyDescent="0.25">
      <c r="B8294"/>
      <c r="C8294"/>
      <c r="D8294"/>
      <c r="E8294"/>
      <c r="F8294"/>
      <c r="G8294" s="20"/>
      <c r="H8294"/>
      <c r="I8294"/>
    </row>
    <row r="8295" spans="2:9" ht="15" x14ac:dyDescent="0.25">
      <c r="B8295"/>
      <c r="C8295"/>
      <c r="D8295"/>
      <c r="E8295"/>
      <c r="F8295"/>
      <c r="G8295" s="20"/>
      <c r="H8295"/>
      <c r="I8295"/>
    </row>
    <row r="8296" spans="2:9" ht="15" x14ac:dyDescent="0.25">
      <c r="B8296"/>
      <c r="C8296"/>
      <c r="D8296"/>
      <c r="E8296"/>
      <c r="F8296"/>
      <c r="G8296" s="20"/>
      <c r="H8296"/>
      <c r="I8296"/>
    </row>
    <row r="8297" spans="2:9" ht="15" x14ac:dyDescent="0.25">
      <c r="B8297"/>
      <c r="C8297"/>
      <c r="D8297"/>
      <c r="E8297"/>
      <c r="F8297"/>
      <c r="G8297" s="20"/>
      <c r="H8297"/>
      <c r="I8297"/>
    </row>
    <row r="8298" spans="2:9" ht="15" x14ac:dyDescent="0.25">
      <c r="B8298"/>
      <c r="C8298"/>
      <c r="D8298"/>
      <c r="E8298"/>
      <c r="F8298"/>
      <c r="G8298" s="20"/>
      <c r="H8298"/>
      <c r="I8298"/>
    </row>
    <row r="8299" spans="2:9" ht="15" x14ac:dyDescent="0.25">
      <c r="B8299"/>
      <c r="C8299"/>
      <c r="D8299"/>
      <c r="E8299"/>
      <c r="F8299"/>
      <c r="G8299" s="20"/>
      <c r="H8299"/>
      <c r="I8299"/>
    </row>
    <row r="8300" spans="2:9" ht="15" x14ac:dyDescent="0.25">
      <c r="B8300"/>
      <c r="C8300"/>
      <c r="D8300"/>
      <c r="E8300"/>
      <c r="F8300"/>
      <c r="G8300" s="20"/>
      <c r="H8300"/>
      <c r="I8300"/>
    </row>
    <row r="8301" spans="2:9" ht="15" x14ac:dyDescent="0.25">
      <c r="B8301"/>
      <c r="C8301"/>
      <c r="D8301"/>
      <c r="E8301"/>
      <c r="F8301"/>
      <c r="G8301" s="20"/>
      <c r="H8301"/>
      <c r="I8301"/>
    </row>
    <row r="8302" spans="2:9" ht="15" x14ac:dyDescent="0.25">
      <c r="B8302"/>
      <c r="C8302"/>
      <c r="D8302"/>
      <c r="E8302"/>
      <c r="F8302"/>
      <c r="G8302" s="20"/>
      <c r="H8302"/>
      <c r="I8302"/>
    </row>
    <row r="8303" spans="2:9" ht="15" x14ac:dyDescent="0.25">
      <c r="B8303"/>
      <c r="C8303"/>
      <c r="D8303"/>
      <c r="E8303"/>
      <c r="F8303"/>
      <c r="G8303" s="20"/>
      <c r="H8303"/>
      <c r="I8303"/>
    </row>
    <row r="8304" spans="2:9" ht="15" x14ac:dyDescent="0.25">
      <c r="B8304"/>
      <c r="C8304"/>
      <c r="D8304"/>
      <c r="E8304"/>
      <c r="F8304"/>
      <c r="G8304" s="20"/>
      <c r="H8304"/>
      <c r="I8304"/>
    </row>
    <row r="8305" spans="2:9" ht="15" x14ac:dyDescent="0.25">
      <c r="B8305"/>
      <c r="C8305"/>
      <c r="D8305"/>
      <c r="E8305"/>
      <c r="F8305"/>
      <c r="G8305" s="20"/>
      <c r="H8305"/>
      <c r="I8305"/>
    </row>
    <row r="8306" spans="2:9" ht="15" x14ac:dyDescent="0.25">
      <c r="B8306"/>
      <c r="C8306"/>
      <c r="D8306"/>
      <c r="E8306"/>
      <c r="F8306"/>
      <c r="G8306" s="20"/>
      <c r="H8306"/>
      <c r="I8306"/>
    </row>
    <row r="8307" spans="2:9" ht="15" x14ac:dyDescent="0.25">
      <c r="B8307"/>
      <c r="C8307"/>
      <c r="D8307"/>
      <c r="E8307"/>
      <c r="F8307"/>
      <c r="G8307" s="20"/>
      <c r="H8307"/>
      <c r="I8307"/>
    </row>
    <row r="8308" spans="2:9" ht="15" x14ac:dyDescent="0.25">
      <c r="B8308"/>
      <c r="C8308"/>
      <c r="D8308"/>
      <c r="E8308"/>
      <c r="F8308"/>
      <c r="G8308" s="20"/>
      <c r="H8308"/>
      <c r="I8308"/>
    </row>
    <row r="8309" spans="2:9" ht="15" x14ac:dyDescent="0.25">
      <c r="B8309"/>
      <c r="C8309"/>
      <c r="D8309"/>
      <c r="E8309"/>
      <c r="F8309"/>
      <c r="G8309" s="20"/>
      <c r="H8309"/>
      <c r="I8309"/>
    </row>
    <row r="8310" spans="2:9" ht="15" x14ac:dyDescent="0.25">
      <c r="B8310"/>
      <c r="C8310"/>
      <c r="D8310"/>
      <c r="E8310"/>
      <c r="F8310"/>
      <c r="G8310" s="20"/>
      <c r="H8310"/>
      <c r="I8310"/>
    </row>
    <row r="8311" spans="2:9" ht="15" x14ac:dyDescent="0.25">
      <c r="B8311"/>
      <c r="C8311"/>
      <c r="D8311"/>
      <c r="E8311"/>
      <c r="F8311"/>
      <c r="G8311" s="20"/>
      <c r="H8311"/>
      <c r="I8311"/>
    </row>
    <row r="8312" spans="2:9" ht="15" x14ac:dyDescent="0.25">
      <c r="B8312"/>
      <c r="C8312"/>
      <c r="D8312"/>
      <c r="E8312"/>
      <c r="F8312"/>
      <c r="G8312" s="20"/>
      <c r="H8312"/>
      <c r="I8312"/>
    </row>
    <row r="8313" spans="2:9" ht="15" x14ac:dyDescent="0.25">
      <c r="B8313"/>
      <c r="C8313"/>
      <c r="D8313"/>
      <c r="E8313"/>
      <c r="F8313"/>
      <c r="G8313" s="20"/>
      <c r="H8313"/>
      <c r="I8313"/>
    </row>
    <row r="8314" spans="2:9" ht="15" x14ac:dyDescent="0.25">
      <c r="B8314"/>
      <c r="C8314"/>
      <c r="D8314"/>
      <c r="E8314"/>
      <c r="F8314"/>
      <c r="G8314" s="20"/>
      <c r="H8314"/>
      <c r="I8314"/>
    </row>
    <row r="8315" spans="2:9" ht="15" x14ac:dyDescent="0.25">
      <c r="B8315"/>
      <c r="C8315"/>
      <c r="D8315"/>
      <c r="E8315"/>
      <c r="F8315"/>
      <c r="G8315" s="20"/>
      <c r="H8315"/>
      <c r="I8315"/>
    </row>
    <row r="8316" spans="2:9" ht="15" x14ac:dyDescent="0.25">
      <c r="B8316"/>
      <c r="C8316"/>
      <c r="D8316"/>
      <c r="E8316"/>
      <c r="F8316"/>
      <c r="G8316" s="20"/>
      <c r="H8316"/>
      <c r="I8316"/>
    </row>
    <row r="8317" spans="2:9" ht="15" x14ac:dyDescent="0.25">
      <c r="B8317"/>
      <c r="C8317"/>
      <c r="D8317"/>
      <c r="E8317"/>
      <c r="F8317"/>
      <c r="G8317" s="20"/>
      <c r="H8317"/>
      <c r="I8317"/>
    </row>
    <row r="8318" spans="2:9" ht="15" x14ac:dyDescent="0.25">
      <c r="B8318"/>
      <c r="C8318"/>
      <c r="D8318"/>
      <c r="E8318"/>
      <c r="F8318"/>
      <c r="G8318" s="20"/>
      <c r="H8318"/>
      <c r="I8318"/>
    </row>
    <row r="8319" spans="2:9" ht="15" x14ac:dyDescent="0.25">
      <c r="B8319"/>
      <c r="C8319"/>
      <c r="D8319"/>
      <c r="E8319"/>
      <c r="F8319"/>
      <c r="G8319" s="20"/>
      <c r="H8319"/>
      <c r="I8319"/>
    </row>
    <row r="8320" spans="2:9" ht="15" x14ac:dyDescent="0.25">
      <c r="B8320"/>
      <c r="C8320"/>
      <c r="D8320"/>
      <c r="E8320"/>
      <c r="F8320"/>
      <c r="G8320" s="20"/>
      <c r="H8320"/>
      <c r="I8320"/>
    </row>
    <row r="8321" spans="2:9" ht="15" x14ac:dyDescent="0.25">
      <c r="B8321"/>
      <c r="C8321"/>
      <c r="D8321"/>
      <c r="E8321"/>
      <c r="F8321"/>
      <c r="G8321" s="20"/>
      <c r="H8321"/>
      <c r="I8321"/>
    </row>
    <row r="8322" spans="2:9" ht="15" x14ac:dyDescent="0.25">
      <c r="B8322"/>
      <c r="C8322"/>
      <c r="D8322"/>
      <c r="E8322"/>
      <c r="F8322"/>
      <c r="G8322" s="20"/>
      <c r="H8322"/>
      <c r="I8322"/>
    </row>
    <row r="8323" spans="2:9" ht="15" x14ac:dyDescent="0.25">
      <c r="B8323"/>
      <c r="C8323"/>
      <c r="D8323"/>
      <c r="E8323"/>
      <c r="F8323"/>
      <c r="G8323" s="20"/>
      <c r="H8323"/>
      <c r="I8323"/>
    </row>
    <row r="8324" spans="2:9" ht="15" x14ac:dyDescent="0.25">
      <c r="B8324"/>
      <c r="C8324"/>
      <c r="D8324"/>
      <c r="E8324"/>
      <c r="F8324"/>
      <c r="G8324" s="20"/>
      <c r="H8324"/>
      <c r="I8324"/>
    </row>
    <row r="8325" spans="2:9" ht="15" x14ac:dyDescent="0.25">
      <c r="B8325"/>
      <c r="C8325"/>
      <c r="D8325"/>
      <c r="E8325"/>
      <c r="F8325"/>
      <c r="G8325" s="20"/>
      <c r="H8325"/>
      <c r="I8325"/>
    </row>
    <row r="8326" spans="2:9" ht="15" x14ac:dyDescent="0.25">
      <c r="B8326"/>
      <c r="C8326"/>
      <c r="D8326"/>
      <c r="E8326"/>
      <c r="F8326"/>
      <c r="G8326" s="20"/>
      <c r="H8326"/>
      <c r="I8326"/>
    </row>
    <row r="8327" spans="2:9" ht="15" x14ac:dyDescent="0.25">
      <c r="B8327"/>
      <c r="C8327"/>
      <c r="D8327"/>
      <c r="E8327"/>
      <c r="F8327"/>
      <c r="G8327" s="20"/>
      <c r="H8327"/>
      <c r="I8327"/>
    </row>
    <row r="8328" spans="2:9" ht="15" x14ac:dyDescent="0.25">
      <c r="B8328"/>
      <c r="C8328"/>
      <c r="D8328"/>
      <c r="E8328"/>
      <c r="F8328"/>
      <c r="G8328" s="20"/>
      <c r="H8328"/>
      <c r="I8328"/>
    </row>
    <row r="8329" spans="2:9" ht="15" x14ac:dyDescent="0.25">
      <c r="B8329"/>
      <c r="C8329"/>
      <c r="D8329"/>
      <c r="E8329"/>
      <c r="F8329"/>
      <c r="G8329" s="20"/>
      <c r="H8329"/>
      <c r="I8329"/>
    </row>
    <row r="8330" spans="2:9" ht="15" x14ac:dyDescent="0.25">
      <c r="B8330"/>
      <c r="C8330"/>
      <c r="D8330"/>
      <c r="E8330"/>
      <c r="F8330"/>
      <c r="G8330" s="20"/>
      <c r="H8330"/>
      <c r="I8330"/>
    </row>
    <row r="8331" spans="2:9" ht="15" x14ac:dyDescent="0.25">
      <c r="B8331"/>
      <c r="C8331"/>
      <c r="D8331"/>
      <c r="E8331"/>
      <c r="F8331"/>
      <c r="G8331" s="20"/>
      <c r="H8331"/>
      <c r="I8331"/>
    </row>
    <row r="8332" spans="2:9" ht="15" x14ac:dyDescent="0.25">
      <c r="B8332"/>
      <c r="C8332"/>
      <c r="D8332"/>
      <c r="E8332"/>
      <c r="F8332"/>
      <c r="G8332" s="20"/>
      <c r="H8332"/>
      <c r="I8332"/>
    </row>
    <row r="8333" spans="2:9" ht="15" x14ac:dyDescent="0.25">
      <c r="B8333"/>
      <c r="C8333"/>
      <c r="D8333"/>
      <c r="E8333"/>
      <c r="F8333"/>
      <c r="G8333" s="20"/>
      <c r="H8333"/>
      <c r="I8333"/>
    </row>
    <row r="8334" spans="2:9" ht="15" x14ac:dyDescent="0.25">
      <c r="B8334"/>
      <c r="C8334"/>
      <c r="D8334"/>
      <c r="E8334"/>
      <c r="F8334"/>
      <c r="G8334" s="20"/>
      <c r="H8334"/>
      <c r="I8334"/>
    </row>
    <row r="8335" spans="2:9" ht="15" x14ac:dyDescent="0.25">
      <c r="B8335"/>
      <c r="C8335"/>
      <c r="D8335"/>
      <c r="E8335"/>
      <c r="F8335"/>
      <c r="G8335" s="20"/>
      <c r="H8335"/>
      <c r="I8335"/>
    </row>
    <row r="8336" spans="2:9" ht="15" x14ac:dyDescent="0.25">
      <c r="B8336"/>
      <c r="C8336"/>
      <c r="D8336"/>
      <c r="E8336"/>
      <c r="F8336"/>
      <c r="G8336" s="20"/>
      <c r="H8336"/>
      <c r="I8336"/>
    </row>
    <row r="8337" spans="2:9" ht="15" x14ac:dyDescent="0.25">
      <c r="B8337"/>
      <c r="C8337"/>
      <c r="D8337"/>
      <c r="E8337"/>
      <c r="F8337"/>
      <c r="G8337" s="20"/>
      <c r="H8337"/>
      <c r="I8337"/>
    </row>
    <row r="8338" spans="2:9" ht="15" x14ac:dyDescent="0.25">
      <c r="B8338"/>
      <c r="C8338"/>
      <c r="D8338"/>
      <c r="E8338"/>
      <c r="F8338"/>
      <c r="G8338" s="20"/>
      <c r="H8338"/>
      <c r="I8338"/>
    </row>
    <row r="8339" spans="2:9" ht="15" x14ac:dyDescent="0.25">
      <c r="B8339"/>
      <c r="C8339"/>
      <c r="D8339"/>
      <c r="E8339"/>
      <c r="F8339"/>
      <c r="G8339" s="20"/>
      <c r="H8339"/>
      <c r="I8339"/>
    </row>
    <row r="8340" spans="2:9" ht="15" x14ac:dyDescent="0.25">
      <c r="B8340"/>
      <c r="C8340"/>
      <c r="D8340"/>
      <c r="E8340"/>
      <c r="F8340"/>
      <c r="G8340" s="20"/>
      <c r="H8340"/>
      <c r="I8340"/>
    </row>
    <row r="8341" spans="2:9" ht="15" x14ac:dyDescent="0.25">
      <c r="B8341"/>
      <c r="C8341"/>
      <c r="D8341"/>
      <c r="E8341"/>
      <c r="F8341"/>
      <c r="G8341" s="20"/>
      <c r="H8341"/>
      <c r="I8341"/>
    </row>
    <row r="8342" spans="2:9" ht="15" x14ac:dyDescent="0.25">
      <c r="B8342"/>
      <c r="C8342"/>
      <c r="D8342"/>
      <c r="E8342"/>
      <c r="F8342"/>
      <c r="G8342" s="20"/>
      <c r="H8342"/>
      <c r="I8342"/>
    </row>
    <row r="8343" spans="2:9" ht="15" x14ac:dyDescent="0.25">
      <c r="B8343"/>
      <c r="C8343"/>
      <c r="D8343"/>
      <c r="E8343"/>
      <c r="F8343"/>
      <c r="G8343" s="20"/>
      <c r="H8343"/>
      <c r="I8343"/>
    </row>
    <row r="8344" spans="2:9" ht="15" x14ac:dyDescent="0.25">
      <c r="B8344"/>
      <c r="C8344"/>
      <c r="D8344"/>
      <c r="E8344"/>
      <c r="F8344"/>
      <c r="G8344" s="20"/>
      <c r="H8344"/>
      <c r="I8344"/>
    </row>
    <row r="8345" spans="2:9" ht="15" x14ac:dyDescent="0.25">
      <c r="B8345"/>
      <c r="C8345"/>
      <c r="D8345"/>
      <c r="E8345"/>
      <c r="F8345"/>
      <c r="G8345" s="20"/>
      <c r="H8345"/>
      <c r="I8345"/>
    </row>
    <row r="8346" spans="2:9" ht="15" x14ac:dyDescent="0.25">
      <c r="B8346"/>
      <c r="C8346"/>
      <c r="D8346"/>
      <c r="E8346"/>
      <c r="F8346"/>
      <c r="G8346" s="20"/>
      <c r="H8346"/>
      <c r="I8346"/>
    </row>
    <row r="8347" spans="2:9" ht="15" x14ac:dyDescent="0.25">
      <c r="B8347"/>
      <c r="C8347"/>
      <c r="D8347"/>
      <c r="E8347"/>
      <c r="F8347"/>
      <c r="G8347" s="20"/>
      <c r="H8347"/>
      <c r="I8347"/>
    </row>
    <row r="8348" spans="2:9" ht="15" x14ac:dyDescent="0.25">
      <c r="B8348"/>
      <c r="C8348"/>
      <c r="D8348"/>
      <c r="E8348"/>
      <c r="F8348"/>
      <c r="G8348" s="20"/>
      <c r="H8348"/>
      <c r="I8348"/>
    </row>
    <row r="8349" spans="2:9" ht="15" x14ac:dyDescent="0.25">
      <c r="B8349"/>
      <c r="C8349"/>
      <c r="D8349"/>
      <c r="E8349"/>
      <c r="F8349"/>
      <c r="G8349" s="20"/>
      <c r="H8349"/>
      <c r="I8349"/>
    </row>
    <row r="8350" spans="2:9" ht="15" x14ac:dyDescent="0.25">
      <c r="B8350"/>
      <c r="C8350"/>
      <c r="D8350"/>
      <c r="E8350"/>
      <c r="F8350"/>
      <c r="G8350" s="20"/>
      <c r="H8350"/>
      <c r="I8350"/>
    </row>
    <row r="8351" spans="2:9" ht="15" x14ac:dyDescent="0.25">
      <c r="B8351"/>
      <c r="C8351"/>
      <c r="D8351"/>
      <c r="E8351"/>
      <c r="F8351"/>
      <c r="G8351" s="20"/>
      <c r="H8351"/>
      <c r="I8351"/>
    </row>
    <row r="8352" spans="2:9" ht="15" x14ac:dyDescent="0.25">
      <c r="B8352"/>
      <c r="C8352"/>
      <c r="D8352"/>
      <c r="E8352"/>
      <c r="F8352"/>
      <c r="G8352" s="20"/>
      <c r="H8352"/>
      <c r="I8352"/>
    </row>
    <row r="8353" spans="2:9" ht="15" x14ac:dyDescent="0.25">
      <c r="B8353"/>
      <c r="C8353"/>
      <c r="D8353"/>
      <c r="E8353"/>
      <c r="F8353"/>
      <c r="G8353" s="20"/>
      <c r="H8353"/>
      <c r="I8353"/>
    </row>
    <row r="8354" spans="2:9" ht="15" x14ac:dyDescent="0.25">
      <c r="B8354"/>
      <c r="C8354"/>
      <c r="D8354"/>
      <c r="E8354"/>
      <c r="F8354"/>
      <c r="G8354" s="20"/>
      <c r="H8354"/>
      <c r="I8354"/>
    </row>
    <row r="8355" spans="2:9" ht="15" x14ac:dyDescent="0.25">
      <c r="B8355"/>
      <c r="C8355"/>
      <c r="D8355"/>
      <c r="E8355"/>
      <c r="F8355"/>
      <c r="G8355" s="20"/>
      <c r="H8355"/>
      <c r="I8355"/>
    </row>
    <row r="8356" spans="2:9" ht="15" x14ac:dyDescent="0.25">
      <c r="B8356"/>
      <c r="C8356"/>
      <c r="D8356"/>
      <c r="E8356"/>
      <c r="F8356"/>
      <c r="G8356" s="20"/>
      <c r="H8356"/>
      <c r="I8356"/>
    </row>
    <row r="8357" spans="2:9" ht="15" x14ac:dyDescent="0.25">
      <c r="B8357"/>
      <c r="C8357"/>
      <c r="D8357"/>
      <c r="E8357"/>
      <c r="F8357"/>
      <c r="G8357" s="20"/>
      <c r="H8357"/>
      <c r="I8357"/>
    </row>
    <row r="8358" spans="2:9" ht="15" x14ac:dyDescent="0.25">
      <c r="B8358"/>
      <c r="C8358"/>
      <c r="D8358"/>
      <c r="E8358"/>
      <c r="F8358"/>
      <c r="G8358" s="20"/>
      <c r="H8358"/>
      <c r="I8358"/>
    </row>
    <row r="8359" spans="2:9" ht="15" x14ac:dyDescent="0.25">
      <c r="B8359"/>
      <c r="C8359"/>
      <c r="D8359"/>
      <c r="E8359"/>
      <c r="F8359"/>
      <c r="G8359" s="20"/>
      <c r="H8359"/>
      <c r="I8359"/>
    </row>
    <row r="8360" spans="2:9" ht="15" x14ac:dyDescent="0.25">
      <c r="B8360"/>
      <c r="C8360"/>
      <c r="D8360"/>
      <c r="E8360"/>
      <c r="F8360"/>
      <c r="G8360" s="20"/>
      <c r="H8360"/>
      <c r="I8360"/>
    </row>
    <row r="8361" spans="2:9" ht="15" x14ac:dyDescent="0.25">
      <c r="B8361"/>
      <c r="C8361"/>
      <c r="D8361"/>
      <c r="E8361"/>
      <c r="F8361"/>
      <c r="G8361" s="20"/>
      <c r="H8361"/>
      <c r="I8361"/>
    </row>
    <row r="8362" spans="2:9" ht="15" x14ac:dyDescent="0.25">
      <c r="B8362"/>
      <c r="C8362"/>
      <c r="D8362"/>
      <c r="E8362"/>
      <c r="F8362"/>
      <c r="G8362" s="20"/>
      <c r="H8362"/>
      <c r="I8362"/>
    </row>
    <row r="8363" spans="2:9" ht="15" x14ac:dyDescent="0.25">
      <c r="B8363"/>
      <c r="C8363"/>
      <c r="D8363"/>
      <c r="E8363"/>
      <c r="F8363"/>
      <c r="G8363" s="20"/>
      <c r="H8363"/>
      <c r="I8363"/>
    </row>
    <row r="8364" spans="2:9" ht="15" x14ac:dyDescent="0.25">
      <c r="B8364"/>
      <c r="C8364"/>
      <c r="D8364"/>
      <c r="E8364"/>
      <c r="F8364"/>
      <c r="G8364" s="20"/>
      <c r="H8364"/>
      <c r="I8364"/>
    </row>
    <row r="8365" spans="2:9" ht="15" x14ac:dyDescent="0.25">
      <c r="B8365"/>
      <c r="C8365"/>
      <c r="D8365"/>
      <c r="E8365"/>
      <c r="F8365"/>
      <c r="G8365" s="20"/>
      <c r="H8365"/>
      <c r="I8365"/>
    </row>
    <row r="8366" spans="2:9" ht="15" x14ac:dyDescent="0.25">
      <c r="B8366"/>
      <c r="C8366"/>
      <c r="D8366"/>
      <c r="E8366"/>
      <c r="F8366"/>
      <c r="G8366" s="20"/>
      <c r="H8366"/>
      <c r="I8366"/>
    </row>
    <row r="8367" spans="2:9" ht="15" x14ac:dyDescent="0.25">
      <c r="B8367"/>
      <c r="C8367"/>
      <c r="D8367"/>
      <c r="E8367"/>
      <c r="F8367"/>
      <c r="G8367" s="20"/>
      <c r="H8367"/>
      <c r="I8367"/>
    </row>
    <row r="8368" spans="2:9" ht="15" x14ac:dyDescent="0.25">
      <c r="B8368"/>
      <c r="C8368"/>
      <c r="D8368"/>
      <c r="E8368"/>
      <c r="F8368"/>
      <c r="G8368" s="20"/>
      <c r="H8368"/>
      <c r="I8368"/>
    </row>
    <row r="8369" spans="2:9" ht="15" x14ac:dyDescent="0.25">
      <c r="B8369"/>
      <c r="C8369"/>
      <c r="D8369"/>
      <c r="E8369"/>
      <c r="F8369"/>
      <c r="G8369" s="20"/>
      <c r="H8369"/>
      <c r="I8369"/>
    </row>
    <row r="8370" spans="2:9" ht="15" x14ac:dyDescent="0.25">
      <c r="B8370"/>
      <c r="C8370"/>
      <c r="D8370"/>
      <c r="E8370"/>
      <c r="F8370"/>
      <c r="G8370" s="20"/>
      <c r="H8370"/>
      <c r="I8370"/>
    </row>
    <row r="8371" spans="2:9" ht="15" x14ac:dyDescent="0.25">
      <c r="B8371"/>
      <c r="C8371"/>
      <c r="D8371"/>
      <c r="E8371"/>
      <c r="F8371"/>
      <c r="G8371" s="20"/>
      <c r="H8371"/>
      <c r="I8371"/>
    </row>
    <row r="8372" spans="2:9" ht="15" x14ac:dyDescent="0.25">
      <c r="B8372"/>
      <c r="C8372"/>
      <c r="D8372"/>
      <c r="E8372"/>
      <c r="F8372"/>
      <c r="G8372" s="20"/>
      <c r="H8372"/>
      <c r="I8372"/>
    </row>
    <row r="8373" spans="2:9" ht="15" x14ac:dyDescent="0.25">
      <c r="B8373"/>
      <c r="C8373"/>
      <c r="D8373"/>
      <c r="E8373"/>
      <c r="F8373"/>
      <c r="G8373" s="20"/>
      <c r="H8373"/>
      <c r="I8373"/>
    </row>
    <row r="8374" spans="2:9" ht="15" x14ac:dyDescent="0.25">
      <c r="B8374"/>
      <c r="C8374"/>
      <c r="D8374"/>
      <c r="E8374"/>
      <c r="F8374"/>
      <c r="G8374" s="20"/>
      <c r="H8374"/>
      <c r="I8374"/>
    </row>
    <row r="8375" spans="2:9" ht="15" x14ac:dyDescent="0.25">
      <c r="B8375"/>
      <c r="C8375"/>
      <c r="D8375"/>
      <c r="E8375"/>
      <c r="F8375"/>
      <c r="G8375" s="20"/>
      <c r="H8375"/>
      <c r="I8375"/>
    </row>
    <row r="8376" spans="2:9" ht="15" x14ac:dyDescent="0.25">
      <c r="B8376"/>
      <c r="C8376"/>
      <c r="D8376"/>
      <c r="E8376"/>
      <c r="F8376"/>
      <c r="G8376" s="20"/>
      <c r="H8376"/>
      <c r="I8376"/>
    </row>
    <row r="8377" spans="2:9" ht="15" x14ac:dyDescent="0.25">
      <c r="B8377"/>
      <c r="C8377"/>
      <c r="D8377"/>
      <c r="E8377"/>
      <c r="F8377"/>
      <c r="G8377" s="20"/>
      <c r="H8377"/>
      <c r="I8377"/>
    </row>
    <row r="8378" spans="2:9" ht="15" x14ac:dyDescent="0.25">
      <c r="B8378"/>
      <c r="C8378"/>
      <c r="D8378"/>
      <c r="E8378"/>
      <c r="F8378"/>
      <c r="G8378" s="20"/>
      <c r="H8378"/>
      <c r="I8378"/>
    </row>
    <row r="8379" spans="2:9" ht="15" x14ac:dyDescent="0.25">
      <c r="B8379"/>
      <c r="C8379"/>
      <c r="D8379"/>
      <c r="E8379"/>
      <c r="F8379"/>
      <c r="G8379" s="20"/>
      <c r="H8379"/>
      <c r="I8379"/>
    </row>
    <row r="8380" spans="2:9" ht="15" x14ac:dyDescent="0.25">
      <c r="B8380"/>
      <c r="C8380"/>
      <c r="D8380"/>
      <c r="E8380"/>
      <c r="F8380"/>
      <c r="G8380" s="20"/>
      <c r="H8380"/>
      <c r="I8380"/>
    </row>
    <row r="8381" spans="2:9" ht="15" x14ac:dyDescent="0.25">
      <c r="B8381"/>
      <c r="C8381"/>
      <c r="D8381"/>
      <c r="E8381"/>
      <c r="F8381"/>
      <c r="G8381" s="20"/>
      <c r="H8381"/>
      <c r="I8381"/>
    </row>
    <row r="8382" spans="2:9" ht="15" x14ac:dyDescent="0.25">
      <c r="B8382"/>
      <c r="C8382"/>
      <c r="D8382"/>
      <c r="E8382"/>
      <c r="F8382"/>
      <c r="G8382" s="20"/>
      <c r="H8382"/>
      <c r="I8382"/>
    </row>
    <row r="8383" spans="2:9" ht="15" x14ac:dyDescent="0.25">
      <c r="B8383"/>
      <c r="C8383"/>
      <c r="D8383"/>
      <c r="E8383"/>
      <c r="F8383"/>
      <c r="G8383" s="20"/>
      <c r="H8383"/>
      <c r="I8383"/>
    </row>
    <row r="8384" spans="2:9" ht="15" x14ac:dyDescent="0.25">
      <c r="B8384"/>
      <c r="C8384"/>
      <c r="D8384"/>
      <c r="E8384"/>
      <c r="F8384"/>
      <c r="G8384" s="20"/>
      <c r="H8384"/>
      <c r="I8384"/>
    </row>
    <row r="8385" spans="2:9" ht="15" x14ac:dyDescent="0.25">
      <c r="B8385"/>
      <c r="C8385"/>
      <c r="D8385"/>
      <c r="E8385"/>
      <c r="F8385"/>
      <c r="G8385" s="20"/>
      <c r="H8385"/>
      <c r="I8385"/>
    </row>
    <row r="8386" spans="2:9" ht="15" x14ac:dyDescent="0.25">
      <c r="B8386"/>
      <c r="C8386"/>
      <c r="D8386"/>
      <c r="E8386"/>
      <c r="F8386"/>
      <c r="G8386" s="20"/>
      <c r="H8386"/>
      <c r="I8386"/>
    </row>
    <row r="8387" spans="2:9" ht="15" x14ac:dyDescent="0.25">
      <c r="B8387"/>
      <c r="C8387"/>
      <c r="D8387"/>
      <c r="E8387"/>
      <c r="F8387"/>
      <c r="G8387" s="20"/>
      <c r="H8387"/>
      <c r="I8387"/>
    </row>
    <row r="8388" spans="2:9" ht="15" x14ac:dyDescent="0.25">
      <c r="B8388"/>
      <c r="C8388"/>
      <c r="D8388"/>
      <c r="E8388"/>
      <c r="F8388"/>
      <c r="G8388" s="20"/>
      <c r="H8388"/>
      <c r="I8388"/>
    </row>
    <row r="8389" spans="2:9" ht="15" x14ac:dyDescent="0.25">
      <c r="B8389"/>
      <c r="C8389"/>
      <c r="D8389"/>
      <c r="E8389"/>
      <c r="F8389"/>
      <c r="G8389" s="20"/>
      <c r="H8389"/>
      <c r="I8389"/>
    </row>
    <row r="8390" spans="2:9" ht="15" x14ac:dyDescent="0.25">
      <c r="B8390"/>
      <c r="C8390"/>
      <c r="D8390"/>
      <c r="E8390"/>
      <c r="F8390"/>
      <c r="G8390" s="20"/>
      <c r="H8390"/>
      <c r="I8390"/>
    </row>
    <row r="8391" spans="2:9" ht="15" x14ac:dyDescent="0.25">
      <c r="B8391"/>
      <c r="C8391"/>
      <c r="D8391"/>
      <c r="E8391"/>
      <c r="F8391"/>
      <c r="G8391" s="20"/>
      <c r="H8391"/>
      <c r="I8391"/>
    </row>
    <row r="8392" spans="2:9" ht="15" x14ac:dyDescent="0.25">
      <c r="B8392"/>
      <c r="C8392"/>
      <c r="D8392"/>
      <c r="E8392"/>
      <c r="F8392"/>
      <c r="G8392" s="20"/>
      <c r="H8392"/>
      <c r="I8392"/>
    </row>
    <row r="8393" spans="2:9" ht="15" x14ac:dyDescent="0.25">
      <c r="B8393"/>
      <c r="C8393"/>
      <c r="D8393"/>
      <c r="E8393"/>
      <c r="F8393"/>
      <c r="G8393" s="20"/>
      <c r="H8393"/>
      <c r="I8393"/>
    </row>
    <row r="8394" spans="2:9" ht="15" x14ac:dyDescent="0.25">
      <c r="B8394"/>
      <c r="C8394"/>
      <c r="D8394"/>
      <c r="E8394"/>
      <c r="F8394"/>
      <c r="G8394" s="20"/>
      <c r="H8394"/>
      <c r="I8394"/>
    </row>
    <row r="8395" spans="2:9" ht="15" x14ac:dyDescent="0.25">
      <c r="B8395"/>
      <c r="C8395"/>
      <c r="D8395"/>
      <c r="E8395"/>
      <c r="F8395"/>
      <c r="G8395" s="20"/>
      <c r="H8395"/>
      <c r="I8395"/>
    </row>
    <row r="8396" spans="2:9" ht="15" x14ac:dyDescent="0.25">
      <c r="B8396"/>
      <c r="C8396"/>
      <c r="D8396"/>
      <c r="E8396"/>
      <c r="F8396"/>
      <c r="G8396" s="20"/>
      <c r="H8396"/>
      <c r="I8396"/>
    </row>
    <row r="8397" spans="2:9" ht="15" x14ac:dyDescent="0.25">
      <c r="B8397"/>
      <c r="C8397"/>
      <c r="D8397"/>
      <c r="E8397"/>
      <c r="F8397"/>
      <c r="G8397" s="20"/>
      <c r="H8397"/>
      <c r="I8397"/>
    </row>
    <row r="8398" spans="2:9" ht="15" x14ac:dyDescent="0.25">
      <c r="B8398"/>
      <c r="C8398"/>
      <c r="D8398"/>
      <c r="E8398"/>
      <c r="F8398"/>
      <c r="G8398" s="20"/>
      <c r="H8398"/>
      <c r="I8398"/>
    </row>
    <row r="8399" spans="2:9" ht="15" x14ac:dyDescent="0.25">
      <c r="B8399"/>
      <c r="C8399"/>
      <c r="D8399"/>
      <c r="E8399"/>
      <c r="F8399"/>
      <c r="G8399" s="20"/>
      <c r="H8399"/>
      <c r="I8399"/>
    </row>
    <row r="8400" spans="2:9" ht="15" x14ac:dyDescent="0.25">
      <c r="B8400"/>
      <c r="C8400"/>
      <c r="D8400"/>
      <c r="E8400"/>
      <c r="F8400"/>
      <c r="G8400" s="20"/>
      <c r="H8400"/>
      <c r="I8400"/>
    </row>
    <row r="8401" spans="2:9" ht="15" x14ac:dyDescent="0.25">
      <c r="B8401"/>
      <c r="C8401"/>
      <c r="D8401"/>
      <c r="E8401"/>
      <c r="F8401"/>
      <c r="G8401" s="20"/>
      <c r="H8401"/>
      <c r="I8401"/>
    </row>
    <row r="8402" spans="2:9" ht="15" x14ac:dyDescent="0.25">
      <c r="B8402"/>
      <c r="C8402"/>
      <c r="D8402"/>
      <c r="E8402"/>
      <c r="F8402"/>
      <c r="G8402" s="20"/>
      <c r="H8402"/>
      <c r="I8402"/>
    </row>
    <row r="8403" spans="2:9" ht="15" x14ac:dyDescent="0.25">
      <c r="B8403"/>
      <c r="C8403"/>
      <c r="D8403"/>
      <c r="E8403"/>
      <c r="F8403"/>
      <c r="G8403" s="20"/>
      <c r="H8403"/>
      <c r="I8403"/>
    </row>
    <row r="8404" spans="2:9" ht="15" x14ac:dyDescent="0.25">
      <c r="B8404"/>
      <c r="C8404"/>
      <c r="D8404"/>
      <c r="E8404"/>
      <c r="F8404"/>
      <c r="G8404" s="20"/>
      <c r="H8404"/>
      <c r="I8404"/>
    </row>
    <row r="8405" spans="2:9" ht="15" x14ac:dyDescent="0.25">
      <c r="B8405"/>
      <c r="C8405"/>
      <c r="D8405"/>
      <c r="E8405"/>
      <c r="F8405"/>
      <c r="G8405" s="20"/>
      <c r="H8405"/>
      <c r="I8405"/>
    </row>
    <row r="8406" spans="2:9" ht="15" x14ac:dyDescent="0.25">
      <c r="B8406"/>
      <c r="C8406"/>
      <c r="D8406"/>
      <c r="E8406"/>
      <c r="F8406"/>
      <c r="G8406" s="20"/>
      <c r="H8406"/>
      <c r="I8406"/>
    </row>
    <row r="8407" spans="2:9" ht="15" x14ac:dyDescent="0.25">
      <c r="B8407"/>
      <c r="C8407"/>
      <c r="D8407"/>
      <c r="E8407"/>
      <c r="F8407"/>
      <c r="G8407" s="20"/>
      <c r="H8407"/>
      <c r="I8407"/>
    </row>
    <row r="8408" spans="2:9" ht="15" x14ac:dyDescent="0.25">
      <c r="B8408"/>
      <c r="C8408"/>
      <c r="D8408"/>
      <c r="E8408"/>
      <c r="F8408"/>
      <c r="G8408" s="20"/>
      <c r="H8408"/>
      <c r="I8408"/>
    </row>
    <row r="8409" spans="2:9" ht="15" x14ac:dyDescent="0.25">
      <c r="B8409"/>
      <c r="C8409"/>
      <c r="D8409"/>
      <c r="E8409"/>
      <c r="F8409"/>
      <c r="G8409" s="20"/>
      <c r="H8409"/>
      <c r="I8409"/>
    </row>
    <row r="8410" spans="2:9" ht="15" x14ac:dyDescent="0.25">
      <c r="B8410"/>
      <c r="C8410"/>
      <c r="D8410"/>
      <c r="E8410"/>
      <c r="F8410"/>
      <c r="G8410" s="20"/>
      <c r="H8410"/>
      <c r="I8410"/>
    </row>
    <row r="8411" spans="2:9" ht="15" x14ac:dyDescent="0.25">
      <c r="B8411"/>
      <c r="C8411"/>
      <c r="D8411"/>
      <c r="E8411"/>
      <c r="F8411"/>
      <c r="G8411" s="20"/>
      <c r="H8411"/>
      <c r="I8411"/>
    </row>
    <row r="8412" spans="2:9" ht="15" x14ac:dyDescent="0.25">
      <c r="B8412"/>
      <c r="C8412"/>
      <c r="D8412"/>
      <c r="E8412"/>
      <c r="F8412"/>
      <c r="G8412" s="20"/>
      <c r="H8412"/>
      <c r="I8412"/>
    </row>
    <row r="8413" spans="2:9" ht="15" x14ac:dyDescent="0.25">
      <c r="B8413"/>
      <c r="C8413"/>
      <c r="D8413"/>
      <c r="E8413"/>
      <c r="F8413"/>
      <c r="G8413" s="20"/>
      <c r="H8413"/>
      <c r="I8413"/>
    </row>
    <row r="8414" spans="2:9" ht="15" x14ac:dyDescent="0.25">
      <c r="B8414"/>
      <c r="C8414"/>
      <c r="D8414"/>
      <c r="E8414"/>
      <c r="F8414"/>
      <c r="G8414" s="20"/>
      <c r="H8414"/>
      <c r="I8414"/>
    </row>
    <row r="8415" spans="2:9" ht="15" x14ac:dyDescent="0.25">
      <c r="B8415"/>
      <c r="C8415"/>
      <c r="D8415"/>
      <c r="E8415"/>
      <c r="F8415"/>
      <c r="G8415" s="20"/>
      <c r="H8415"/>
      <c r="I8415"/>
    </row>
    <row r="8416" spans="2:9" ht="15" x14ac:dyDescent="0.25">
      <c r="B8416"/>
      <c r="C8416"/>
      <c r="D8416"/>
      <c r="E8416"/>
      <c r="F8416"/>
      <c r="G8416" s="20"/>
      <c r="H8416"/>
      <c r="I8416"/>
    </row>
    <row r="8417" spans="2:9" ht="15" x14ac:dyDescent="0.25">
      <c r="B8417"/>
      <c r="C8417"/>
      <c r="D8417"/>
      <c r="E8417"/>
      <c r="F8417"/>
      <c r="G8417" s="20"/>
      <c r="H8417"/>
      <c r="I8417"/>
    </row>
    <row r="8418" spans="2:9" ht="15" x14ac:dyDescent="0.25">
      <c r="B8418"/>
      <c r="C8418"/>
      <c r="D8418"/>
      <c r="E8418"/>
      <c r="F8418"/>
      <c r="G8418" s="20"/>
      <c r="H8418"/>
      <c r="I8418"/>
    </row>
    <row r="8419" spans="2:9" ht="15" x14ac:dyDescent="0.25">
      <c r="B8419"/>
      <c r="C8419"/>
      <c r="D8419"/>
      <c r="E8419"/>
      <c r="F8419"/>
      <c r="G8419" s="20"/>
      <c r="H8419"/>
      <c r="I8419"/>
    </row>
    <row r="8420" spans="2:9" ht="15" x14ac:dyDescent="0.25">
      <c r="B8420"/>
      <c r="C8420"/>
      <c r="D8420"/>
      <c r="E8420"/>
      <c r="F8420"/>
      <c r="G8420" s="20"/>
      <c r="H8420"/>
      <c r="I8420"/>
    </row>
    <row r="8421" spans="2:9" ht="15" x14ac:dyDescent="0.25">
      <c r="B8421"/>
      <c r="C8421"/>
      <c r="D8421"/>
      <c r="E8421"/>
      <c r="F8421"/>
      <c r="G8421" s="20"/>
      <c r="H8421"/>
      <c r="I8421"/>
    </row>
    <row r="8422" spans="2:9" ht="15" x14ac:dyDescent="0.25">
      <c r="B8422"/>
      <c r="C8422"/>
      <c r="D8422"/>
      <c r="E8422"/>
      <c r="F8422"/>
      <c r="G8422" s="20"/>
      <c r="H8422"/>
      <c r="I8422"/>
    </row>
    <row r="8423" spans="2:9" ht="15" x14ac:dyDescent="0.25">
      <c r="B8423"/>
      <c r="C8423"/>
      <c r="D8423"/>
      <c r="E8423"/>
      <c r="F8423"/>
      <c r="G8423" s="20"/>
      <c r="H8423"/>
      <c r="I8423"/>
    </row>
    <row r="8424" spans="2:9" ht="15" x14ac:dyDescent="0.25">
      <c r="B8424"/>
      <c r="C8424"/>
      <c r="D8424"/>
      <c r="E8424"/>
      <c r="F8424"/>
      <c r="G8424" s="20"/>
      <c r="H8424"/>
      <c r="I8424"/>
    </row>
    <row r="8425" spans="2:9" ht="15" x14ac:dyDescent="0.25">
      <c r="B8425"/>
      <c r="C8425"/>
      <c r="D8425"/>
      <c r="E8425"/>
      <c r="F8425"/>
      <c r="G8425" s="20"/>
      <c r="H8425"/>
      <c r="I8425"/>
    </row>
    <row r="8426" spans="2:9" ht="15" x14ac:dyDescent="0.25">
      <c r="B8426"/>
      <c r="C8426"/>
      <c r="D8426"/>
      <c r="E8426"/>
      <c r="F8426"/>
      <c r="G8426" s="20"/>
      <c r="H8426"/>
      <c r="I8426"/>
    </row>
    <row r="8427" spans="2:9" ht="15" x14ac:dyDescent="0.25">
      <c r="B8427"/>
      <c r="C8427"/>
      <c r="D8427"/>
      <c r="E8427"/>
      <c r="F8427"/>
      <c r="G8427" s="20"/>
      <c r="H8427"/>
      <c r="I8427"/>
    </row>
    <row r="8428" spans="2:9" ht="15" x14ac:dyDescent="0.25">
      <c r="B8428"/>
      <c r="C8428"/>
      <c r="D8428"/>
      <c r="E8428"/>
      <c r="F8428"/>
      <c r="G8428" s="20"/>
      <c r="H8428"/>
      <c r="I8428"/>
    </row>
    <row r="8429" spans="2:9" ht="15" x14ac:dyDescent="0.25">
      <c r="B8429"/>
      <c r="C8429"/>
      <c r="D8429"/>
      <c r="E8429"/>
      <c r="F8429"/>
      <c r="G8429" s="20"/>
      <c r="H8429"/>
      <c r="I8429"/>
    </row>
    <row r="8430" spans="2:9" ht="15" x14ac:dyDescent="0.25">
      <c r="B8430"/>
      <c r="C8430"/>
      <c r="D8430"/>
      <c r="E8430"/>
      <c r="F8430"/>
      <c r="G8430" s="20"/>
      <c r="H8430"/>
      <c r="I8430"/>
    </row>
    <row r="8431" spans="2:9" ht="15" x14ac:dyDescent="0.25">
      <c r="B8431"/>
      <c r="C8431"/>
      <c r="D8431"/>
      <c r="E8431"/>
      <c r="F8431"/>
      <c r="G8431" s="20"/>
      <c r="H8431"/>
      <c r="I8431"/>
    </row>
    <row r="8432" spans="2:9" ht="15" x14ac:dyDescent="0.25">
      <c r="B8432"/>
      <c r="C8432"/>
      <c r="D8432"/>
      <c r="E8432"/>
      <c r="F8432"/>
      <c r="G8432" s="20"/>
      <c r="H8432"/>
      <c r="I8432"/>
    </row>
    <row r="8433" spans="2:9" ht="15" x14ac:dyDescent="0.25">
      <c r="B8433"/>
      <c r="C8433"/>
      <c r="D8433"/>
      <c r="E8433"/>
      <c r="F8433"/>
      <c r="G8433" s="20"/>
      <c r="H8433"/>
      <c r="I8433"/>
    </row>
    <row r="8434" spans="2:9" ht="15" x14ac:dyDescent="0.25">
      <c r="B8434"/>
      <c r="C8434"/>
      <c r="D8434"/>
      <c r="E8434"/>
      <c r="F8434"/>
      <c r="G8434" s="20"/>
      <c r="H8434"/>
      <c r="I8434"/>
    </row>
    <row r="8435" spans="2:9" ht="15" x14ac:dyDescent="0.25">
      <c r="B8435"/>
      <c r="C8435"/>
      <c r="D8435"/>
      <c r="E8435"/>
      <c r="F8435"/>
      <c r="G8435" s="20"/>
      <c r="H8435"/>
      <c r="I8435"/>
    </row>
    <row r="8436" spans="2:9" ht="15" x14ac:dyDescent="0.25">
      <c r="B8436"/>
      <c r="C8436"/>
      <c r="D8436"/>
      <c r="E8436"/>
      <c r="F8436"/>
      <c r="G8436" s="20"/>
      <c r="H8436"/>
      <c r="I8436"/>
    </row>
    <row r="8437" spans="2:9" ht="15" x14ac:dyDescent="0.25">
      <c r="B8437"/>
      <c r="C8437"/>
      <c r="D8437"/>
      <c r="E8437"/>
      <c r="F8437"/>
      <c r="G8437" s="20"/>
      <c r="H8437"/>
      <c r="I8437"/>
    </row>
    <row r="8438" spans="2:9" ht="15" x14ac:dyDescent="0.25">
      <c r="B8438"/>
      <c r="C8438"/>
      <c r="D8438"/>
      <c r="E8438"/>
      <c r="F8438"/>
      <c r="G8438" s="20"/>
      <c r="H8438"/>
      <c r="I8438"/>
    </row>
    <row r="8439" spans="2:9" ht="15" x14ac:dyDescent="0.25">
      <c r="B8439"/>
      <c r="C8439"/>
      <c r="D8439"/>
      <c r="E8439"/>
      <c r="F8439"/>
      <c r="G8439" s="20"/>
      <c r="H8439"/>
      <c r="I8439"/>
    </row>
    <row r="8440" spans="2:9" ht="15" x14ac:dyDescent="0.25">
      <c r="B8440"/>
      <c r="C8440"/>
      <c r="D8440"/>
      <c r="E8440"/>
      <c r="F8440"/>
      <c r="G8440" s="20"/>
      <c r="H8440"/>
      <c r="I8440"/>
    </row>
    <row r="8441" spans="2:9" ht="15" x14ac:dyDescent="0.25">
      <c r="B8441"/>
      <c r="C8441"/>
      <c r="D8441"/>
      <c r="E8441"/>
      <c r="F8441"/>
      <c r="G8441" s="20"/>
      <c r="H8441"/>
      <c r="I8441"/>
    </row>
    <row r="8442" spans="2:9" ht="15" x14ac:dyDescent="0.25">
      <c r="B8442"/>
      <c r="C8442"/>
      <c r="D8442"/>
      <c r="E8442"/>
      <c r="F8442"/>
      <c r="G8442" s="20"/>
      <c r="H8442"/>
      <c r="I8442"/>
    </row>
    <row r="8443" spans="2:9" ht="15" x14ac:dyDescent="0.25">
      <c r="B8443"/>
      <c r="C8443"/>
      <c r="D8443"/>
      <c r="E8443"/>
      <c r="F8443"/>
      <c r="G8443" s="20"/>
      <c r="H8443"/>
      <c r="I8443"/>
    </row>
    <row r="8444" spans="2:9" ht="15" x14ac:dyDescent="0.25">
      <c r="B8444"/>
      <c r="C8444"/>
      <c r="D8444"/>
      <c r="E8444"/>
      <c r="F8444"/>
      <c r="G8444" s="20"/>
      <c r="H8444"/>
      <c r="I8444"/>
    </row>
    <row r="8445" spans="2:9" ht="15" x14ac:dyDescent="0.25">
      <c r="B8445"/>
      <c r="C8445"/>
      <c r="D8445"/>
      <c r="E8445"/>
      <c r="F8445"/>
      <c r="G8445" s="20"/>
      <c r="H8445"/>
      <c r="I8445"/>
    </row>
    <row r="8446" spans="2:9" ht="15" x14ac:dyDescent="0.25">
      <c r="B8446"/>
      <c r="C8446"/>
      <c r="D8446"/>
      <c r="E8446"/>
      <c r="F8446"/>
      <c r="G8446" s="20"/>
      <c r="H8446"/>
      <c r="I8446"/>
    </row>
    <row r="8447" spans="2:9" ht="15" x14ac:dyDescent="0.25">
      <c r="B8447"/>
      <c r="C8447"/>
      <c r="D8447"/>
      <c r="E8447"/>
      <c r="F8447"/>
      <c r="G8447" s="20"/>
      <c r="H8447"/>
      <c r="I8447"/>
    </row>
    <row r="8448" spans="2:9" ht="15" x14ac:dyDescent="0.25">
      <c r="B8448"/>
      <c r="C8448"/>
      <c r="D8448"/>
      <c r="E8448"/>
      <c r="F8448"/>
      <c r="G8448" s="20"/>
      <c r="H8448"/>
      <c r="I8448"/>
    </row>
    <row r="8449" spans="2:9" ht="15" x14ac:dyDescent="0.25">
      <c r="B8449"/>
      <c r="C8449"/>
      <c r="D8449"/>
      <c r="E8449"/>
      <c r="F8449"/>
      <c r="G8449" s="20"/>
      <c r="H8449"/>
      <c r="I8449"/>
    </row>
    <row r="8450" spans="2:9" ht="15" x14ac:dyDescent="0.25">
      <c r="B8450"/>
      <c r="C8450"/>
      <c r="D8450"/>
      <c r="E8450"/>
      <c r="F8450"/>
      <c r="G8450" s="20"/>
      <c r="H8450"/>
      <c r="I8450"/>
    </row>
    <row r="8451" spans="2:9" ht="15" x14ac:dyDescent="0.25">
      <c r="B8451"/>
      <c r="C8451"/>
      <c r="D8451"/>
      <c r="E8451"/>
      <c r="F8451"/>
      <c r="G8451" s="20"/>
      <c r="H8451"/>
      <c r="I8451"/>
    </row>
    <row r="8452" spans="2:9" ht="15" x14ac:dyDescent="0.25">
      <c r="B8452"/>
      <c r="C8452"/>
      <c r="D8452"/>
      <c r="E8452"/>
      <c r="F8452"/>
      <c r="G8452" s="20"/>
      <c r="H8452"/>
      <c r="I8452"/>
    </row>
    <row r="8453" spans="2:9" ht="15" x14ac:dyDescent="0.25">
      <c r="B8453"/>
      <c r="C8453"/>
      <c r="D8453"/>
      <c r="E8453"/>
      <c r="F8453"/>
      <c r="G8453" s="20"/>
      <c r="H8453"/>
      <c r="I8453"/>
    </row>
    <row r="8454" spans="2:9" ht="15" x14ac:dyDescent="0.25">
      <c r="B8454"/>
      <c r="C8454"/>
      <c r="D8454"/>
      <c r="E8454"/>
      <c r="F8454"/>
      <c r="G8454" s="20"/>
      <c r="H8454"/>
      <c r="I8454"/>
    </row>
    <row r="8455" spans="2:9" ht="15" x14ac:dyDescent="0.25">
      <c r="B8455"/>
      <c r="C8455"/>
      <c r="D8455"/>
      <c r="E8455"/>
      <c r="F8455"/>
      <c r="G8455" s="20"/>
      <c r="H8455"/>
      <c r="I8455"/>
    </row>
    <row r="8456" spans="2:9" ht="15" x14ac:dyDescent="0.25">
      <c r="B8456"/>
      <c r="C8456"/>
      <c r="D8456"/>
      <c r="E8456"/>
      <c r="F8456"/>
      <c r="G8456" s="20"/>
      <c r="H8456"/>
      <c r="I8456"/>
    </row>
    <row r="8457" spans="2:9" ht="15" x14ac:dyDescent="0.25">
      <c r="B8457"/>
      <c r="C8457"/>
      <c r="D8457"/>
      <c r="E8457"/>
      <c r="F8457"/>
      <c r="G8457" s="20"/>
      <c r="H8457"/>
      <c r="I8457"/>
    </row>
    <row r="8458" spans="2:9" ht="15" x14ac:dyDescent="0.25">
      <c r="B8458"/>
      <c r="C8458"/>
      <c r="D8458"/>
      <c r="E8458"/>
      <c r="F8458"/>
      <c r="G8458" s="20"/>
      <c r="H8458"/>
      <c r="I8458"/>
    </row>
    <row r="8459" spans="2:9" ht="15" x14ac:dyDescent="0.25">
      <c r="B8459"/>
      <c r="C8459"/>
      <c r="D8459"/>
      <c r="E8459"/>
      <c r="F8459"/>
      <c r="G8459" s="20"/>
      <c r="H8459"/>
      <c r="I8459"/>
    </row>
    <row r="8460" spans="2:9" ht="15" x14ac:dyDescent="0.25">
      <c r="B8460"/>
      <c r="C8460"/>
      <c r="D8460"/>
      <c r="E8460"/>
      <c r="F8460"/>
      <c r="G8460" s="20"/>
      <c r="H8460"/>
      <c r="I8460"/>
    </row>
    <row r="8461" spans="2:9" ht="15" x14ac:dyDescent="0.25">
      <c r="B8461"/>
      <c r="C8461"/>
      <c r="D8461"/>
      <c r="E8461"/>
      <c r="F8461"/>
      <c r="G8461" s="20"/>
      <c r="H8461"/>
      <c r="I8461"/>
    </row>
    <row r="8462" spans="2:9" ht="15" x14ac:dyDescent="0.25">
      <c r="B8462"/>
      <c r="C8462"/>
      <c r="D8462"/>
      <c r="E8462"/>
      <c r="F8462"/>
      <c r="G8462" s="20"/>
      <c r="H8462"/>
      <c r="I8462"/>
    </row>
    <row r="8463" spans="2:9" ht="15" x14ac:dyDescent="0.25">
      <c r="B8463"/>
      <c r="C8463"/>
      <c r="D8463"/>
      <c r="E8463"/>
      <c r="F8463"/>
      <c r="G8463" s="20"/>
      <c r="H8463"/>
      <c r="I8463"/>
    </row>
    <row r="8464" spans="2:9" ht="15" x14ac:dyDescent="0.25">
      <c r="B8464"/>
      <c r="C8464"/>
      <c r="D8464"/>
      <c r="E8464"/>
      <c r="F8464"/>
      <c r="G8464" s="20"/>
      <c r="H8464"/>
      <c r="I8464"/>
    </row>
    <row r="8465" spans="2:9" ht="15" x14ac:dyDescent="0.25">
      <c r="B8465"/>
      <c r="C8465"/>
      <c r="D8465"/>
      <c r="E8465"/>
      <c r="F8465"/>
      <c r="G8465" s="20"/>
      <c r="H8465"/>
      <c r="I8465"/>
    </row>
    <row r="8466" spans="2:9" ht="15" x14ac:dyDescent="0.25">
      <c r="B8466"/>
      <c r="C8466"/>
      <c r="D8466"/>
      <c r="E8466"/>
      <c r="F8466"/>
      <c r="G8466" s="20"/>
      <c r="H8466"/>
      <c r="I8466"/>
    </row>
    <row r="8467" spans="2:9" ht="15" x14ac:dyDescent="0.25">
      <c r="B8467"/>
      <c r="C8467"/>
      <c r="D8467"/>
      <c r="E8467"/>
      <c r="F8467"/>
      <c r="G8467" s="20"/>
      <c r="H8467"/>
      <c r="I8467"/>
    </row>
    <row r="8468" spans="2:9" ht="15" x14ac:dyDescent="0.25">
      <c r="B8468"/>
      <c r="C8468"/>
      <c r="D8468"/>
      <c r="E8468"/>
      <c r="F8468"/>
      <c r="G8468" s="20"/>
      <c r="H8468"/>
      <c r="I8468"/>
    </row>
    <row r="8469" spans="2:9" ht="15" x14ac:dyDescent="0.25">
      <c r="B8469"/>
      <c r="C8469"/>
      <c r="D8469"/>
      <c r="E8469"/>
      <c r="F8469"/>
      <c r="G8469" s="20"/>
      <c r="H8469"/>
      <c r="I8469"/>
    </row>
    <row r="8470" spans="2:9" ht="15" x14ac:dyDescent="0.25">
      <c r="B8470"/>
      <c r="C8470"/>
      <c r="D8470"/>
      <c r="E8470"/>
      <c r="F8470"/>
      <c r="G8470" s="20"/>
      <c r="H8470"/>
      <c r="I8470"/>
    </row>
    <row r="8471" spans="2:9" ht="15" x14ac:dyDescent="0.25">
      <c r="B8471"/>
      <c r="C8471"/>
      <c r="D8471"/>
      <c r="E8471"/>
      <c r="F8471"/>
      <c r="G8471" s="20"/>
      <c r="H8471"/>
      <c r="I8471"/>
    </row>
    <row r="8472" spans="2:9" ht="15" x14ac:dyDescent="0.25">
      <c r="B8472"/>
      <c r="C8472"/>
      <c r="D8472"/>
      <c r="E8472"/>
      <c r="F8472"/>
      <c r="G8472" s="20"/>
      <c r="H8472"/>
      <c r="I8472"/>
    </row>
    <row r="8473" spans="2:9" ht="15" x14ac:dyDescent="0.25">
      <c r="B8473"/>
      <c r="C8473"/>
      <c r="D8473"/>
      <c r="E8473"/>
      <c r="F8473"/>
      <c r="G8473" s="20"/>
      <c r="H8473"/>
      <c r="I8473"/>
    </row>
    <row r="8474" spans="2:9" ht="15" x14ac:dyDescent="0.25">
      <c r="B8474"/>
      <c r="C8474"/>
      <c r="D8474"/>
      <c r="E8474"/>
      <c r="F8474"/>
      <c r="G8474" s="20"/>
      <c r="H8474"/>
      <c r="I8474"/>
    </row>
    <row r="8475" spans="2:9" ht="15" x14ac:dyDescent="0.25">
      <c r="B8475"/>
      <c r="C8475"/>
      <c r="D8475"/>
      <c r="E8475"/>
      <c r="F8475"/>
      <c r="G8475" s="20"/>
      <c r="H8475"/>
      <c r="I8475"/>
    </row>
    <row r="8476" spans="2:9" ht="15" x14ac:dyDescent="0.25">
      <c r="B8476"/>
      <c r="C8476"/>
      <c r="D8476"/>
      <c r="E8476"/>
      <c r="F8476"/>
      <c r="G8476" s="20"/>
      <c r="H8476"/>
      <c r="I8476"/>
    </row>
    <row r="8477" spans="2:9" ht="15" x14ac:dyDescent="0.25">
      <c r="B8477"/>
      <c r="C8477"/>
      <c r="D8477"/>
      <c r="E8477"/>
      <c r="F8477"/>
      <c r="G8477" s="20"/>
      <c r="H8477"/>
      <c r="I8477"/>
    </row>
    <row r="8478" spans="2:9" ht="15" x14ac:dyDescent="0.25">
      <c r="B8478"/>
      <c r="C8478"/>
      <c r="D8478"/>
      <c r="E8478"/>
      <c r="F8478"/>
      <c r="G8478" s="20"/>
      <c r="H8478"/>
      <c r="I8478"/>
    </row>
    <row r="8479" spans="2:9" ht="15" x14ac:dyDescent="0.25">
      <c r="B8479"/>
      <c r="C8479"/>
      <c r="D8479"/>
      <c r="E8479"/>
      <c r="F8479"/>
      <c r="G8479" s="20"/>
      <c r="H8479"/>
      <c r="I8479"/>
    </row>
    <row r="8480" spans="2:9" ht="15" x14ac:dyDescent="0.25">
      <c r="B8480"/>
      <c r="C8480"/>
      <c r="D8480"/>
      <c r="E8480"/>
      <c r="F8480"/>
      <c r="G8480" s="20"/>
      <c r="H8480"/>
      <c r="I8480"/>
    </row>
    <row r="8481" spans="2:9" ht="15" x14ac:dyDescent="0.25">
      <c r="B8481"/>
      <c r="C8481"/>
      <c r="D8481"/>
      <c r="E8481"/>
      <c r="F8481"/>
      <c r="G8481" s="20"/>
      <c r="H8481"/>
      <c r="I8481"/>
    </row>
    <row r="8482" spans="2:9" ht="15" x14ac:dyDescent="0.25">
      <c r="B8482"/>
      <c r="C8482"/>
      <c r="D8482"/>
      <c r="E8482"/>
      <c r="F8482"/>
      <c r="G8482" s="20"/>
      <c r="H8482"/>
      <c r="I8482"/>
    </row>
    <row r="8483" spans="2:9" ht="15" x14ac:dyDescent="0.25">
      <c r="B8483"/>
      <c r="C8483"/>
      <c r="D8483"/>
      <c r="E8483"/>
      <c r="F8483"/>
      <c r="G8483" s="20"/>
      <c r="H8483"/>
      <c r="I8483"/>
    </row>
    <row r="8484" spans="2:9" ht="15" x14ac:dyDescent="0.25">
      <c r="B8484"/>
      <c r="C8484"/>
      <c r="D8484"/>
      <c r="E8484"/>
      <c r="F8484"/>
      <c r="G8484" s="20"/>
      <c r="H8484"/>
      <c r="I8484"/>
    </row>
    <row r="8485" spans="2:9" ht="15" x14ac:dyDescent="0.25">
      <c r="B8485"/>
      <c r="C8485"/>
      <c r="D8485"/>
      <c r="E8485"/>
      <c r="F8485"/>
      <c r="G8485" s="20"/>
      <c r="H8485"/>
      <c r="I8485"/>
    </row>
    <row r="8486" spans="2:9" ht="15" x14ac:dyDescent="0.25">
      <c r="B8486"/>
      <c r="C8486"/>
      <c r="D8486"/>
      <c r="E8486"/>
      <c r="F8486"/>
      <c r="G8486" s="20"/>
      <c r="H8486"/>
      <c r="I8486"/>
    </row>
    <row r="8487" spans="2:9" ht="15" x14ac:dyDescent="0.25">
      <c r="B8487"/>
      <c r="C8487"/>
      <c r="D8487"/>
      <c r="E8487"/>
      <c r="F8487"/>
      <c r="G8487" s="20"/>
      <c r="H8487"/>
      <c r="I8487"/>
    </row>
    <row r="8488" spans="2:9" ht="15" x14ac:dyDescent="0.25">
      <c r="B8488"/>
      <c r="C8488"/>
      <c r="D8488"/>
      <c r="E8488"/>
      <c r="F8488"/>
      <c r="G8488" s="20"/>
      <c r="H8488"/>
      <c r="I8488"/>
    </row>
    <row r="8489" spans="2:9" ht="15" x14ac:dyDescent="0.25">
      <c r="B8489"/>
      <c r="C8489"/>
      <c r="D8489"/>
      <c r="E8489"/>
      <c r="F8489"/>
      <c r="G8489" s="20"/>
      <c r="H8489"/>
      <c r="I8489"/>
    </row>
    <row r="8490" spans="2:9" ht="15" x14ac:dyDescent="0.25">
      <c r="B8490"/>
      <c r="C8490"/>
      <c r="D8490"/>
      <c r="E8490"/>
      <c r="F8490"/>
      <c r="G8490" s="20"/>
      <c r="H8490"/>
      <c r="I8490"/>
    </row>
    <row r="8491" spans="2:9" ht="15" x14ac:dyDescent="0.25">
      <c r="B8491"/>
      <c r="C8491"/>
      <c r="D8491"/>
      <c r="E8491"/>
      <c r="F8491"/>
      <c r="G8491" s="20"/>
      <c r="H8491"/>
      <c r="I8491"/>
    </row>
    <row r="8492" spans="2:9" ht="15" x14ac:dyDescent="0.25">
      <c r="B8492"/>
      <c r="C8492"/>
      <c r="D8492"/>
      <c r="E8492"/>
      <c r="F8492"/>
      <c r="G8492" s="20"/>
      <c r="H8492"/>
      <c r="I8492"/>
    </row>
    <row r="8493" spans="2:9" ht="15" x14ac:dyDescent="0.25">
      <c r="B8493"/>
      <c r="C8493"/>
      <c r="D8493"/>
      <c r="E8493"/>
      <c r="F8493"/>
      <c r="G8493" s="20"/>
      <c r="H8493"/>
      <c r="I8493"/>
    </row>
    <row r="8494" spans="2:9" ht="15" x14ac:dyDescent="0.25">
      <c r="B8494"/>
      <c r="C8494"/>
      <c r="D8494"/>
      <c r="E8494"/>
      <c r="F8494"/>
      <c r="G8494" s="20"/>
      <c r="H8494"/>
      <c r="I8494"/>
    </row>
    <row r="8495" spans="2:9" ht="15" x14ac:dyDescent="0.25">
      <c r="B8495"/>
      <c r="C8495"/>
      <c r="D8495"/>
      <c r="E8495"/>
      <c r="F8495"/>
      <c r="G8495" s="20"/>
      <c r="H8495"/>
      <c r="I8495"/>
    </row>
    <row r="8496" spans="2:9" ht="15" x14ac:dyDescent="0.25">
      <c r="B8496"/>
      <c r="C8496"/>
      <c r="D8496"/>
      <c r="E8496"/>
      <c r="F8496"/>
      <c r="G8496" s="20"/>
      <c r="H8496"/>
      <c r="I8496"/>
    </row>
    <row r="8497" spans="2:9" ht="15" x14ac:dyDescent="0.25">
      <c r="B8497"/>
      <c r="C8497"/>
      <c r="D8497"/>
      <c r="E8497"/>
      <c r="F8497"/>
      <c r="G8497" s="20"/>
      <c r="H8497"/>
      <c r="I8497"/>
    </row>
    <row r="8498" spans="2:9" ht="15" x14ac:dyDescent="0.25">
      <c r="B8498"/>
      <c r="C8498"/>
      <c r="D8498"/>
      <c r="E8498"/>
      <c r="F8498"/>
      <c r="G8498" s="20"/>
      <c r="H8498"/>
      <c r="I8498"/>
    </row>
    <row r="8499" spans="2:9" ht="15" x14ac:dyDescent="0.25">
      <c r="B8499"/>
      <c r="C8499"/>
      <c r="D8499"/>
      <c r="E8499"/>
      <c r="F8499"/>
      <c r="G8499" s="20"/>
      <c r="H8499"/>
      <c r="I8499"/>
    </row>
    <row r="8500" spans="2:9" ht="15" x14ac:dyDescent="0.25">
      <c r="B8500"/>
      <c r="C8500"/>
      <c r="D8500"/>
      <c r="E8500"/>
      <c r="F8500"/>
      <c r="G8500" s="20"/>
      <c r="H8500"/>
      <c r="I8500"/>
    </row>
    <row r="8501" spans="2:9" ht="15" x14ac:dyDescent="0.25">
      <c r="B8501"/>
      <c r="C8501"/>
      <c r="D8501"/>
      <c r="E8501"/>
      <c r="F8501"/>
      <c r="G8501" s="20"/>
      <c r="H8501"/>
      <c r="I8501"/>
    </row>
    <row r="8502" spans="2:9" ht="15" x14ac:dyDescent="0.25">
      <c r="B8502"/>
      <c r="C8502"/>
      <c r="D8502"/>
      <c r="E8502"/>
      <c r="F8502"/>
      <c r="G8502" s="20"/>
      <c r="H8502"/>
      <c r="I8502"/>
    </row>
    <row r="8503" spans="2:9" ht="15" x14ac:dyDescent="0.25">
      <c r="B8503"/>
      <c r="C8503"/>
      <c r="D8503"/>
      <c r="E8503"/>
      <c r="F8503"/>
      <c r="G8503" s="20"/>
      <c r="H8503"/>
      <c r="I8503"/>
    </row>
    <row r="8504" spans="2:9" ht="15" x14ac:dyDescent="0.25">
      <c r="B8504"/>
      <c r="C8504"/>
      <c r="D8504"/>
      <c r="E8504"/>
      <c r="F8504"/>
      <c r="G8504" s="20"/>
      <c r="H8504"/>
      <c r="I8504"/>
    </row>
    <row r="8505" spans="2:9" ht="15" x14ac:dyDescent="0.25">
      <c r="B8505"/>
      <c r="C8505"/>
      <c r="D8505"/>
      <c r="E8505"/>
      <c r="F8505"/>
      <c r="G8505" s="20"/>
      <c r="H8505"/>
      <c r="I8505"/>
    </row>
    <row r="8506" spans="2:9" ht="15" x14ac:dyDescent="0.25">
      <c r="B8506"/>
      <c r="C8506"/>
      <c r="D8506"/>
      <c r="E8506"/>
      <c r="F8506"/>
      <c r="G8506" s="20"/>
      <c r="H8506"/>
      <c r="I8506"/>
    </row>
    <row r="8507" spans="2:9" ht="15" x14ac:dyDescent="0.25">
      <c r="B8507"/>
      <c r="C8507"/>
      <c r="D8507"/>
      <c r="E8507"/>
      <c r="F8507"/>
      <c r="G8507" s="20"/>
      <c r="H8507"/>
      <c r="I8507"/>
    </row>
    <row r="8508" spans="2:9" ht="15" x14ac:dyDescent="0.25">
      <c r="B8508"/>
      <c r="C8508"/>
      <c r="D8508"/>
      <c r="E8508"/>
      <c r="F8508"/>
      <c r="G8508" s="20"/>
      <c r="H8508"/>
      <c r="I8508"/>
    </row>
    <row r="8509" spans="2:9" ht="15" x14ac:dyDescent="0.25">
      <c r="B8509"/>
      <c r="C8509"/>
      <c r="D8509"/>
      <c r="E8509"/>
      <c r="F8509"/>
      <c r="G8509" s="20"/>
      <c r="H8509"/>
      <c r="I8509"/>
    </row>
    <row r="8510" spans="2:9" ht="15" x14ac:dyDescent="0.25">
      <c r="B8510"/>
      <c r="C8510"/>
      <c r="D8510"/>
      <c r="E8510"/>
      <c r="F8510"/>
      <c r="G8510" s="20"/>
      <c r="H8510"/>
      <c r="I8510"/>
    </row>
    <row r="8511" spans="2:9" ht="15" x14ac:dyDescent="0.25">
      <c r="B8511"/>
      <c r="C8511"/>
      <c r="D8511"/>
      <c r="E8511"/>
      <c r="F8511"/>
      <c r="G8511" s="20"/>
      <c r="H8511"/>
      <c r="I8511"/>
    </row>
    <row r="8512" spans="2:9" ht="15" x14ac:dyDescent="0.25">
      <c r="B8512"/>
      <c r="C8512"/>
      <c r="D8512"/>
      <c r="E8512"/>
      <c r="F8512"/>
      <c r="G8512" s="20"/>
      <c r="H8512"/>
      <c r="I8512"/>
    </row>
    <row r="8513" spans="2:9" ht="15" x14ac:dyDescent="0.25">
      <c r="B8513"/>
      <c r="C8513"/>
      <c r="D8513"/>
      <c r="E8513"/>
      <c r="F8513"/>
      <c r="G8513" s="20"/>
      <c r="H8513"/>
      <c r="I8513"/>
    </row>
    <row r="8514" spans="2:9" ht="15" x14ac:dyDescent="0.25">
      <c r="B8514"/>
      <c r="C8514"/>
      <c r="D8514"/>
      <c r="E8514"/>
      <c r="F8514"/>
      <c r="G8514" s="20"/>
      <c r="H8514"/>
      <c r="I8514"/>
    </row>
    <row r="8515" spans="2:9" ht="15" x14ac:dyDescent="0.25">
      <c r="B8515"/>
      <c r="C8515"/>
      <c r="D8515"/>
      <c r="E8515"/>
      <c r="F8515"/>
      <c r="G8515" s="20"/>
      <c r="H8515"/>
      <c r="I8515"/>
    </row>
    <row r="8516" spans="2:9" ht="15" x14ac:dyDescent="0.25">
      <c r="B8516"/>
      <c r="C8516"/>
      <c r="D8516"/>
      <c r="E8516"/>
      <c r="F8516"/>
      <c r="G8516" s="20"/>
      <c r="H8516"/>
      <c r="I8516"/>
    </row>
    <row r="8517" spans="2:9" ht="15" x14ac:dyDescent="0.25">
      <c r="B8517"/>
      <c r="C8517"/>
      <c r="D8517"/>
      <c r="E8517"/>
      <c r="F8517"/>
      <c r="G8517" s="20"/>
      <c r="H8517"/>
      <c r="I8517"/>
    </row>
    <row r="8518" spans="2:9" ht="15" x14ac:dyDescent="0.25">
      <c r="B8518"/>
      <c r="C8518"/>
      <c r="D8518"/>
      <c r="E8518"/>
      <c r="F8518"/>
      <c r="G8518" s="20"/>
      <c r="H8518"/>
      <c r="I8518"/>
    </row>
    <row r="8519" spans="2:9" ht="15" x14ac:dyDescent="0.25">
      <c r="B8519"/>
      <c r="C8519"/>
      <c r="D8519"/>
      <c r="E8519"/>
      <c r="F8519"/>
      <c r="G8519" s="20"/>
      <c r="H8519"/>
      <c r="I8519"/>
    </row>
    <row r="8520" spans="2:9" ht="15" x14ac:dyDescent="0.25">
      <c r="B8520"/>
      <c r="C8520"/>
      <c r="D8520"/>
      <c r="E8520"/>
      <c r="F8520"/>
      <c r="G8520" s="20"/>
      <c r="H8520"/>
      <c r="I8520"/>
    </row>
    <row r="8521" spans="2:9" ht="15" x14ac:dyDescent="0.25">
      <c r="B8521"/>
      <c r="C8521"/>
      <c r="D8521"/>
      <c r="E8521"/>
      <c r="F8521"/>
      <c r="G8521" s="20"/>
      <c r="H8521"/>
      <c r="I8521"/>
    </row>
    <row r="8522" spans="2:9" ht="15" x14ac:dyDescent="0.25">
      <c r="B8522"/>
      <c r="C8522"/>
      <c r="D8522"/>
      <c r="E8522"/>
      <c r="F8522"/>
      <c r="G8522" s="20"/>
      <c r="H8522"/>
      <c r="I8522"/>
    </row>
    <row r="8523" spans="2:9" ht="15" x14ac:dyDescent="0.25">
      <c r="B8523"/>
      <c r="C8523"/>
      <c r="D8523"/>
      <c r="E8523"/>
      <c r="F8523"/>
      <c r="G8523" s="20"/>
      <c r="H8523"/>
      <c r="I8523"/>
    </row>
    <row r="8524" spans="2:9" ht="15" x14ac:dyDescent="0.25">
      <c r="B8524"/>
      <c r="C8524"/>
      <c r="D8524"/>
      <c r="E8524"/>
      <c r="F8524"/>
      <c r="G8524" s="20"/>
      <c r="H8524"/>
      <c r="I8524"/>
    </row>
    <row r="8525" spans="2:9" ht="15" x14ac:dyDescent="0.25">
      <c r="B8525"/>
      <c r="C8525"/>
      <c r="D8525"/>
      <c r="E8525"/>
      <c r="F8525"/>
      <c r="G8525" s="20"/>
      <c r="H8525"/>
      <c r="I8525"/>
    </row>
    <row r="8526" spans="2:9" ht="15" x14ac:dyDescent="0.25">
      <c r="B8526"/>
      <c r="C8526"/>
      <c r="D8526"/>
      <c r="E8526"/>
      <c r="F8526"/>
      <c r="G8526" s="20"/>
      <c r="H8526"/>
      <c r="I8526"/>
    </row>
    <row r="8527" spans="2:9" ht="15" x14ac:dyDescent="0.25">
      <c r="B8527"/>
      <c r="C8527"/>
      <c r="D8527"/>
      <c r="E8527"/>
      <c r="F8527"/>
      <c r="G8527" s="20"/>
      <c r="H8527"/>
      <c r="I8527"/>
    </row>
    <row r="8528" spans="2:9" ht="15" x14ac:dyDescent="0.25">
      <c r="B8528"/>
      <c r="C8528"/>
      <c r="D8528"/>
      <c r="E8528"/>
      <c r="F8528"/>
      <c r="G8528" s="20"/>
      <c r="H8528"/>
      <c r="I8528"/>
    </row>
    <row r="8529" spans="2:9" ht="15" x14ac:dyDescent="0.25">
      <c r="B8529"/>
      <c r="C8529"/>
      <c r="D8529"/>
      <c r="E8529"/>
      <c r="F8529"/>
      <c r="G8529" s="20"/>
      <c r="H8529"/>
      <c r="I8529"/>
    </row>
    <row r="8530" spans="2:9" ht="15" x14ac:dyDescent="0.25">
      <c r="B8530"/>
      <c r="C8530"/>
      <c r="D8530"/>
      <c r="E8530"/>
      <c r="F8530"/>
      <c r="G8530" s="20"/>
      <c r="H8530"/>
      <c r="I8530"/>
    </row>
    <row r="8531" spans="2:9" ht="15" x14ac:dyDescent="0.25">
      <c r="B8531"/>
      <c r="C8531"/>
      <c r="D8531"/>
      <c r="E8531"/>
      <c r="F8531"/>
      <c r="G8531" s="20"/>
      <c r="H8531"/>
      <c r="I8531"/>
    </row>
    <row r="8532" spans="2:9" ht="15" x14ac:dyDescent="0.25">
      <c r="B8532"/>
      <c r="C8532"/>
      <c r="D8532"/>
      <c r="E8532"/>
      <c r="F8532"/>
      <c r="G8532" s="20"/>
      <c r="H8532"/>
      <c r="I8532"/>
    </row>
    <row r="8533" spans="2:9" ht="15" x14ac:dyDescent="0.25">
      <c r="B8533"/>
      <c r="C8533"/>
      <c r="D8533"/>
      <c r="E8533"/>
      <c r="F8533"/>
      <c r="G8533" s="20"/>
      <c r="H8533"/>
      <c r="I8533"/>
    </row>
    <row r="8534" spans="2:9" ht="15" x14ac:dyDescent="0.25">
      <c r="B8534"/>
      <c r="C8534"/>
      <c r="D8534"/>
      <c r="E8534"/>
      <c r="F8534"/>
      <c r="G8534" s="20"/>
      <c r="H8534"/>
      <c r="I8534"/>
    </row>
    <row r="8535" spans="2:9" ht="15" x14ac:dyDescent="0.25">
      <c r="B8535"/>
      <c r="C8535"/>
      <c r="D8535"/>
      <c r="E8535"/>
      <c r="F8535"/>
      <c r="G8535" s="20"/>
      <c r="H8535"/>
      <c r="I8535"/>
    </row>
    <row r="8536" spans="2:9" ht="15" x14ac:dyDescent="0.25">
      <c r="B8536"/>
      <c r="C8536"/>
      <c r="D8536"/>
      <c r="E8536"/>
      <c r="F8536"/>
      <c r="G8536" s="20"/>
      <c r="H8536"/>
      <c r="I8536"/>
    </row>
    <row r="8537" spans="2:9" ht="15" x14ac:dyDescent="0.25">
      <c r="B8537"/>
      <c r="C8537"/>
      <c r="D8537"/>
      <c r="E8537"/>
      <c r="F8537"/>
      <c r="G8537" s="20"/>
      <c r="H8537"/>
      <c r="I8537"/>
    </row>
    <row r="8538" spans="2:9" ht="15" x14ac:dyDescent="0.25">
      <c r="B8538"/>
      <c r="C8538"/>
      <c r="D8538"/>
      <c r="E8538"/>
      <c r="F8538"/>
      <c r="G8538" s="20"/>
      <c r="H8538"/>
      <c r="I8538"/>
    </row>
    <row r="8539" spans="2:9" ht="15" x14ac:dyDescent="0.25">
      <c r="B8539"/>
      <c r="C8539"/>
      <c r="D8539"/>
      <c r="E8539"/>
      <c r="F8539"/>
      <c r="G8539" s="20"/>
      <c r="H8539"/>
      <c r="I8539"/>
    </row>
    <row r="8540" spans="2:9" ht="15" x14ac:dyDescent="0.25">
      <c r="B8540"/>
      <c r="C8540"/>
      <c r="D8540"/>
      <c r="E8540"/>
      <c r="F8540"/>
      <c r="G8540" s="20"/>
      <c r="H8540"/>
      <c r="I8540"/>
    </row>
    <row r="8541" spans="2:9" ht="15" x14ac:dyDescent="0.25">
      <c r="B8541"/>
      <c r="C8541"/>
      <c r="D8541"/>
      <c r="E8541"/>
      <c r="F8541"/>
      <c r="G8541" s="20"/>
      <c r="H8541"/>
      <c r="I8541"/>
    </row>
    <row r="8542" spans="2:9" ht="15" x14ac:dyDescent="0.25">
      <c r="B8542"/>
      <c r="C8542"/>
      <c r="D8542"/>
      <c r="E8542"/>
      <c r="F8542"/>
      <c r="G8542" s="20"/>
      <c r="H8542"/>
      <c r="I8542"/>
    </row>
    <row r="8543" spans="2:9" ht="15" x14ac:dyDescent="0.25">
      <c r="B8543"/>
      <c r="C8543"/>
      <c r="D8543"/>
      <c r="E8543"/>
      <c r="F8543"/>
      <c r="G8543" s="20"/>
      <c r="H8543"/>
      <c r="I8543"/>
    </row>
    <row r="8544" spans="2:9" ht="15" x14ac:dyDescent="0.25">
      <c r="B8544"/>
      <c r="C8544"/>
      <c r="D8544"/>
      <c r="E8544"/>
      <c r="F8544"/>
      <c r="G8544" s="20"/>
      <c r="H8544"/>
      <c r="I8544"/>
    </row>
    <row r="8545" spans="2:9" ht="15" x14ac:dyDescent="0.25">
      <c r="B8545"/>
      <c r="C8545"/>
      <c r="D8545"/>
      <c r="E8545"/>
      <c r="F8545"/>
      <c r="G8545" s="20"/>
      <c r="H8545"/>
      <c r="I8545"/>
    </row>
    <row r="8546" spans="2:9" ht="15" x14ac:dyDescent="0.25">
      <c r="B8546"/>
      <c r="C8546"/>
      <c r="D8546"/>
      <c r="E8546"/>
      <c r="F8546"/>
      <c r="G8546" s="20"/>
      <c r="H8546"/>
      <c r="I8546"/>
    </row>
    <row r="8547" spans="2:9" ht="15" x14ac:dyDescent="0.25">
      <c r="B8547"/>
      <c r="C8547"/>
      <c r="D8547"/>
      <c r="E8547"/>
      <c r="F8547"/>
      <c r="G8547" s="20"/>
      <c r="H8547"/>
      <c r="I8547"/>
    </row>
    <row r="8548" spans="2:9" ht="15" x14ac:dyDescent="0.25">
      <c r="B8548"/>
      <c r="C8548"/>
      <c r="D8548"/>
      <c r="E8548"/>
      <c r="F8548"/>
      <c r="G8548" s="20"/>
      <c r="H8548"/>
      <c r="I8548"/>
    </row>
    <row r="8549" spans="2:9" ht="15" x14ac:dyDescent="0.25">
      <c r="B8549"/>
      <c r="C8549"/>
      <c r="D8549"/>
      <c r="E8549"/>
      <c r="F8549"/>
      <c r="G8549" s="20"/>
      <c r="H8549"/>
      <c r="I8549"/>
    </row>
    <row r="8550" spans="2:9" ht="15" x14ac:dyDescent="0.25">
      <c r="B8550"/>
      <c r="C8550"/>
      <c r="D8550"/>
      <c r="E8550"/>
      <c r="F8550"/>
      <c r="G8550" s="20"/>
      <c r="H8550"/>
      <c r="I8550"/>
    </row>
    <row r="8551" spans="2:9" ht="15" x14ac:dyDescent="0.25">
      <c r="B8551"/>
      <c r="C8551"/>
      <c r="D8551"/>
      <c r="E8551"/>
      <c r="F8551"/>
      <c r="G8551" s="20"/>
      <c r="H8551"/>
      <c r="I8551"/>
    </row>
    <row r="8552" spans="2:9" ht="15" x14ac:dyDescent="0.25">
      <c r="B8552"/>
      <c r="C8552"/>
      <c r="D8552"/>
      <c r="E8552"/>
      <c r="F8552"/>
      <c r="G8552" s="20"/>
      <c r="H8552"/>
      <c r="I8552"/>
    </row>
    <row r="8553" spans="2:9" ht="15" x14ac:dyDescent="0.25">
      <c r="B8553"/>
      <c r="C8553"/>
      <c r="D8553"/>
      <c r="E8553"/>
      <c r="F8553"/>
      <c r="G8553" s="20"/>
      <c r="H8553"/>
      <c r="I8553"/>
    </row>
    <row r="8554" spans="2:9" ht="15" x14ac:dyDescent="0.25">
      <c r="B8554"/>
      <c r="C8554"/>
      <c r="D8554"/>
      <c r="E8554"/>
      <c r="F8554"/>
      <c r="G8554" s="20"/>
      <c r="H8554"/>
      <c r="I8554"/>
    </row>
    <row r="8555" spans="2:9" ht="15" x14ac:dyDescent="0.25">
      <c r="B8555"/>
      <c r="C8555"/>
      <c r="D8555"/>
      <c r="E8555"/>
      <c r="F8555"/>
      <c r="G8555" s="20"/>
      <c r="H8555"/>
      <c r="I8555"/>
    </row>
    <row r="8556" spans="2:9" ht="15" x14ac:dyDescent="0.25">
      <c r="B8556"/>
      <c r="C8556"/>
      <c r="D8556"/>
      <c r="E8556"/>
      <c r="F8556"/>
      <c r="G8556" s="20"/>
      <c r="H8556"/>
      <c r="I8556"/>
    </row>
    <row r="8557" spans="2:9" ht="15" x14ac:dyDescent="0.25">
      <c r="B8557"/>
      <c r="C8557"/>
      <c r="D8557"/>
      <c r="E8557"/>
      <c r="F8557"/>
      <c r="G8557" s="20"/>
      <c r="H8557"/>
      <c r="I8557"/>
    </row>
    <row r="8558" spans="2:9" ht="15" x14ac:dyDescent="0.25">
      <c r="B8558"/>
      <c r="C8558"/>
      <c r="D8558"/>
      <c r="E8558"/>
      <c r="F8558"/>
      <c r="G8558" s="20"/>
      <c r="H8558"/>
      <c r="I8558"/>
    </row>
    <row r="8559" spans="2:9" ht="15" x14ac:dyDescent="0.25">
      <c r="B8559"/>
      <c r="C8559"/>
      <c r="D8559"/>
      <c r="E8559"/>
      <c r="F8559"/>
      <c r="G8559" s="20"/>
      <c r="H8559"/>
      <c r="I8559"/>
    </row>
    <row r="8560" spans="2:9" ht="15" x14ac:dyDescent="0.25">
      <c r="B8560"/>
      <c r="C8560"/>
      <c r="D8560"/>
      <c r="E8560"/>
      <c r="F8560"/>
      <c r="G8560" s="20"/>
      <c r="H8560"/>
      <c r="I8560"/>
    </row>
    <row r="8561" spans="2:9" ht="15" x14ac:dyDescent="0.25">
      <c r="B8561"/>
      <c r="C8561"/>
      <c r="D8561"/>
      <c r="E8561"/>
      <c r="F8561"/>
      <c r="G8561" s="20"/>
      <c r="H8561"/>
      <c r="I8561"/>
    </row>
    <row r="8562" spans="2:9" ht="15" x14ac:dyDescent="0.25">
      <c r="B8562"/>
      <c r="C8562"/>
      <c r="D8562"/>
      <c r="E8562"/>
      <c r="F8562"/>
      <c r="G8562" s="20"/>
      <c r="H8562"/>
      <c r="I8562"/>
    </row>
    <row r="8563" spans="2:9" ht="15" x14ac:dyDescent="0.25">
      <c r="B8563"/>
      <c r="C8563"/>
      <c r="D8563"/>
      <c r="E8563"/>
      <c r="F8563"/>
      <c r="G8563" s="20"/>
      <c r="H8563"/>
      <c r="I8563"/>
    </row>
    <row r="8564" spans="2:9" ht="15" x14ac:dyDescent="0.25">
      <c r="B8564"/>
      <c r="C8564"/>
      <c r="D8564"/>
      <c r="E8564"/>
      <c r="F8564"/>
      <c r="G8564" s="20"/>
      <c r="H8564"/>
      <c r="I8564"/>
    </row>
    <row r="8565" spans="2:9" ht="15" x14ac:dyDescent="0.25">
      <c r="B8565"/>
      <c r="C8565"/>
      <c r="D8565"/>
      <c r="E8565"/>
      <c r="F8565"/>
      <c r="G8565" s="20"/>
      <c r="H8565"/>
      <c r="I8565"/>
    </row>
    <row r="8566" spans="2:9" ht="15" x14ac:dyDescent="0.25">
      <c r="B8566"/>
      <c r="C8566"/>
      <c r="D8566"/>
      <c r="E8566"/>
      <c r="F8566"/>
      <c r="G8566" s="20"/>
      <c r="H8566"/>
      <c r="I8566"/>
    </row>
    <row r="8567" spans="2:9" ht="15" x14ac:dyDescent="0.25">
      <c r="B8567"/>
      <c r="C8567"/>
      <c r="D8567"/>
      <c r="E8567"/>
      <c r="F8567"/>
      <c r="G8567" s="20"/>
      <c r="H8567"/>
      <c r="I8567"/>
    </row>
    <row r="8568" spans="2:9" ht="15" x14ac:dyDescent="0.25">
      <c r="B8568"/>
      <c r="C8568"/>
      <c r="D8568"/>
      <c r="E8568"/>
      <c r="F8568"/>
      <c r="G8568" s="20"/>
      <c r="H8568"/>
      <c r="I8568"/>
    </row>
    <row r="8569" spans="2:9" ht="15" x14ac:dyDescent="0.25">
      <c r="B8569"/>
      <c r="C8569"/>
      <c r="D8569"/>
      <c r="E8569"/>
      <c r="F8569"/>
      <c r="G8569" s="20"/>
      <c r="H8569"/>
      <c r="I8569"/>
    </row>
    <row r="8570" spans="2:9" ht="15" x14ac:dyDescent="0.25">
      <c r="B8570"/>
      <c r="C8570"/>
      <c r="D8570"/>
      <c r="E8570"/>
      <c r="F8570"/>
      <c r="G8570" s="20"/>
      <c r="H8570"/>
      <c r="I8570"/>
    </row>
    <row r="8571" spans="2:9" ht="15" x14ac:dyDescent="0.25">
      <c r="B8571"/>
      <c r="C8571"/>
      <c r="D8571"/>
      <c r="E8571"/>
      <c r="F8571"/>
      <c r="G8571" s="20"/>
      <c r="H8571"/>
      <c r="I8571"/>
    </row>
    <row r="8572" spans="2:9" ht="15" x14ac:dyDescent="0.25">
      <c r="B8572"/>
      <c r="C8572"/>
      <c r="D8572"/>
      <c r="E8572"/>
      <c r="F8572"/>
      <c r="G8572" s="20"/>
      <c r="H8572"/>
      <c r="I8572"/>
    </row>
    <row r="8573" spans="2:9" ht="15" x14ac:dyDescent="0.25">
      <c r="B8573"/>
      <c r="C8573"/>
      <c r="D8573"/>
      <c r="E8573"/>
      <c r="F8573"/>
      <c r="G8573" s="20"/>
      <c r="H8573"/>
      <c r="I8573"/>
    </row>
    <row r="8574" spans="2:9" ht="15" x14ac:dyDescent="0.25">
      <c r="B8574"/>
      <c r="C8574"/>
      <c r="D8574"/>
      <c r="E8574"/>
      <c r="F8574"/>
      <c r="G8574" s="20"/>
      <c r="H8574"/>
      <c r="I8574"/>
    </row>
    <row r="8575" spans="2:9" ht="15" x14ac:dyDescent="0.25">
      <c r="B8575"/>
      <c r="C8575"/>
      <c r="D8575"/>
      <c r="E8575"/>
      <c r="F8575"/>
      <c r="G8575" s="20"/>
      <c r="H8575"/>
      <c r="I8575"/>
    </row>
    <row r="8576" spans="2:9" ht="15" x14ac:dyDescent="0.25">
      <c r="B8576"/>
      <c r="C8576"/>
      <c r="D8576"/>
      <c r="E8576"/>
      <c r="F8576"/>
      <c r="G8576" s="20"/>
      <c r="H8576"/>
      <c r="I8576"/>
    </row>
    <row r="8577" spans="2:9" ht="15" x14ac:dyDescent="0.25">
      <c r="B8577"/>
      <c r="C8577"/>
      <c r="D8577"/>
      <c r="E8577"/>
      <c r="F8577"/>
      <c r="G8577" s="20"/>
      <c r="H8577"/>
      <c r="I8577"/>
    </row>
    <row r="8578" spans="2:9" ht="15" x14ac:dyDescent="0.25">
      <c r="B8578"/>
      <c r="C8578"/>
      <c r="D8578"/>
      <c r="E8578"/>
      <c r="F8578"/>
      <c r="G8578" s="20"/>
      <c r="H8578"/>
      <c r="I8578"/>
    </row>
    <row r="8579" spans="2:9" ht="15" x14ac:dyDescent="0.25">
      <c r="B8579"/>
      <c r="C8579"/>
      <c r="D8579"/>
      <c r="E8579"/>
      <c r="F8579"/>
      <c r="G8579" s="20"/>
      <c r="H8579"/>
      <c r="I8579"/>
    </row>
    <row r="8580" spans="2:9" ht="15" x14ac:dyDescent="0.25">
      <c r="B8580"/>
      <c r="C8580"/>
      <c r="D8580"/>
      <c r="E8580"/>
      <c r="F8580"/>
      <c r="G8580" s="20"/>
      <c r="H8580"/>
      <c r="I8580"/>
    </row>
    <row r="8581" spans="2:9" ht="15" x14ac:dyDescent="0.25">
      <c r="B8581"/>
      <c r="C8581"/>
      <c r="D8581"/>
      <c r="E8581"/>
      <c r="F8581"/>
      <c r="G8581" s="20"/>
      <c r="H8581"/>
      <c r="I8581"/>
    </row>
    <row r="8582" spans="2:9" ht="15" x14ac:dyDescent="0.25">
      <c r="B8582"/>
      <c r="C8582"/>
      <c r="D8582"/>
      <c r="E8582"/>
      <c r="F8582"/>
      <c r="G8582" s="20"/>
      <c r="H8582"/>
      <c r="I8582"/>
    </row>
    <row r="8583" spans="2:9" ht="15" x14ac:dyDescent="0.25">
      <c r="B8583"/>
      <c r="C8583"/>
      <c r="D8583"/>
      <c r="E8583"/>
      <c r="F8583"/>
      <c r="G8583" s="20"/>
      <c r="H8583"/>
      <c r="I8583"/>
    </row>
    <row r="8584" spans="2:9" ht="15" x14ac:dyDescent="0.25">
      <c r="B8584"/>
      <c r="C8584"/>
      <c r="D8584"/>
      <c r="E8584"/>
      <c r="F8584"/>
      <c r="G8584" s="20"/>
      <c r="H8584"/>
      <c r="I8584"/>
    </row>
    <row r="8585" spans="2:9" ht="15" x14ac:dyDescent="0.25">
      <c r="B8585"/>
      <c r="C8585"/>
      <c r="D8585"/>
      <c r="E8585"/>
      <c r="F8585"/>
      <c r="G8585" s="20"/>
      <c r="H8585"/>
      <c r="I8585"/>
    </row>
    <row r="8586" spans="2:9" ht="15" x14ac:dyDescent="0.25">
      <c r="B8586"/>
      <c r="C8586"/>
      <c r="D8586"/>
      <c r="E8586"/>
      <c r="F8586"/>
      <c r="G8586" s="20"/>
      <c r="H8586"/>
      <c r="I8586"/>
    </row>
    <row r="8587" spans="2:9" ht="15" x14ac:dyDescent="0.25">
      <c r="B8587"/>
      <c r="C8587"/>
      <c r="D8587"/>
      <c r="E8587"/>
      <c r="F8587"/>
      <c r="G8587" s="20"/>
      <c r="H8587"/>
      <c r="I8587"/>
    </row>
    <row r="8588" spans="2:9" ht="15" x14ac:dyDescent="0.25">
      <c r="B8588"/>
      <c r="C8588"/>
      <c r="D8588"/>
      <c r="E8588"/>
      <c r="F8588"/>
      <c r="G8588" s="20"/>
      <c r="H8588"/>
      <c r="I8588"/>
    </row>
    <row r="8589" spans="2:9" ht="15" x14ac:dyDescent="0.25">
      <c r="B8589"/>
      <c r="C8589"/>
      <c r="D8589"/>
      <c r="E8589"/>
      <c r="F8589"/>
      <c r="G8589" s="20"/>
      <c r="H8589"/>
      <c r="I8589"/>
    </row>
    <row r="8590" spans="2:9" ht="15" x14ac:dyDescent="0.25">
      <c r="B8590"/>
      <c r="C8590"/>
      <c r="D8590"/>
      <c r="E8590"/>
      <c r="F8590"/>
      <c r="G8590" s="20"/>
      <c r="H8590"/>
      <c r="I8590"/>
    </row>
    <row r="8591" spans="2:9" ht="15" x14ac:dyDescent="0.25">
      <c r="B8591"/>
      <c r="C8591"/>
      <c r="D8591"/>
      <c r="E8591"/>
      <c r="F8591"/>
      <c r="G8591" s="20"/>
      <c r="H8591"/>
      <c r="I8591"/>
    </row>
    <row r="8592" spans="2:9" ht="15" x14ac:dyDescent="0.25">
      <c r="B8592"/>
      <c r="C8592"/>
      <c r="D8592"/>
      <c r="E8592"/>
      <c r="F8592"/>
      <c r="G8592" s="20"/>
      <c r="H8592"/>
      <c r="I8592"/>
    </row>
    <row r="8593" spans="2:9" ht="15" x14ac:dyDescent="0.25">
      <c r="B8593"/>
      <c r="C8593"/>
      <c r="D8593"/>
      <c r="E8593"/>
      <c r="F8593"/>
      <c r="G8593" s="20"/>
      <c r="H8593"/>
      <c r="I8593"/>
    </row>
    <row r="8594" spans="2:9" ht="15" x14ac:dyDescent="0.25">
      <c r="B8594"/>
      <c r="C8594"/>
      <c r="D8594"/>
      <c r="E8594"/>
      <c r="F8594"/>
      <c r="G8594" s="20"/>
      <c r="H8594"/>
      <c r="I8594"/>
    </row>
    <row r="8595" spans="2:9" ht="15" x14ac:dyDescent="0.25">
      <c r="B8595"/>
      <c r="C8595"/>
      <c r="D8595"/>
      <c r="E8595"/>
      <c r="F8595"/>
      <c r="G8595" s="20"/>
      <c r="H8595"/>
      <c r="I8595"/>
    </row>
    <row r="8596" spans="2:9" ht="15" x14ac:dyDescent="0.25">
      <c r="B8596"/>
      <c r="C8596"/>
      <c r="D8596"/>
      <c r="E8596"/>
      <c r="F8596"/>
      <c r="G8596" s="20"/>
      <c r="H8596"/>
      <c r="I8596"/>
    </row>
    <row r="8597" spans="2:9" ht="15" x14ac:dyDescent="0.25">
      <c r="B8597"/>
      <c r="C8597"/>
      <c r="D8597"/>
      <c r="E8597"/>
      <c r="F8597"/>
      <c r="G8597" s="20"/>
      <c r="H8597"/>
      <c r="I8597"/>
    </row>
    <row r="8598" spans="2:9" ht="15" x14ac:dyDescent="0.25">
      <c r="B8598"/>
      <c r="C8598"/>
      <c r="D8598"/>
      <c r="E8598"/>
      <c r="F8598"/>
      <c r="G8598" s="20"/>
      <c r="H8598"/>
      <c r="I8598"/>
    </row>
    <row r="8599" spans="2:9" ht="15" x14ac:dyDescent="0.25">
      <c r="B8599"/>
      <c r="C8599"/>
      <c r="D8599"/>
      <c r="E8599"/>
      <c r="F8599"/>
      <c r="G8599" s="20"/>
      <c r="H8599"/>
      <c r="I8599"/>
    </row>
    <row r="8600" spans="2:9" ht="15" x14ac:dyDescent="0.25">
      <c r="B8600"/>
      <c r="C8600"/>
      <c r="D8600"/>
      <c r="E8600"/>
      <c r="F8600"/>
      <c r="G8600" s="20"/>
      <c r="H8600"/>
      <c r="I8600"/>
    </row>
    <row r="8601" spans="2:9" ht="15" x14ac:dyDescent="0.25">
      <c r="B8601"/>
      <c r="C8601"/>
      <c r="D8601"/>
      <c r="E8601"/>
      <c r="F8601"/>
      <c r="G8601" s="20"/>
      <c r="H8601"/>
      <c r="I8601"/>
    </row>
    <row r="8602" spans="2:9" ht="15" x14ac:dyDescent="0.25">
      <c r="B8602"/>
      <c r="C8602"/>
      <c r="D8602"/>
      <c r="E8602"/>
      <c r="F8602"/>
      <c r="G8602" s="20"/>
      <c r="H8602"/>
      <c r="I8602"/>
    </row>
    <row r="8603" spans="2:9" ht="15" x14ac:dyDescent="0.25">
      <c r="B8603"/>
      <c r="C8603"/>
      <c r="D8603"/>
      <c r="E8603"/>
      <c r="F8603"/>
      <c r="G8603" s="20"/>
      <c r="H8603"/>
      <c r="I8603"/>
    </row>
    <row r="8604" spans="2:9" ht="15" x14ac:dyDescent="0.25">
      <c r="B8604"/>
      <c r="C8604"/>
      <c r="D8604"/>
      <c r="E8604"/>
      <c r="F8604"/>
      <c r="G8604" s="20"/>
      <c r="H8604"/>
      <c r="I8604"/>
    </row>
    <row r="8605" spans="2:9" ht="15" x14ac:dyDescent="0.25">
      <c r="B8605"/>
      <c r="C8605"/>
      <c r="D8605"/>
      <c r="E8605"/>
      <c r="F8605"/>
      <c r="G8605" s="20"/>
      <c r="H8605"/>
      <c r="I8605"/>
    </row>
    <row r="8606" spans="2:9" ht="15" x14ac:dyDescent="0.25">
      <c r="B8606"/>
      <c r="C8606"/>
      <c r="D8606"/>
      <c r="E8606"/>
      <c r="F8606"/>
      <c r="G8606" s="20"/>
      <c r="H8606"/>
      <c r="I8606"/>
    </row>
    <row r="8607" spans="2:9" ht="15" x14ac:dyDescent="0.25">
      <c r="B8607"/>
      <c r="C8607"/>
      <c r="D8607"/>
      <c r="E8607"/>
      <c r="F8607"/>
      <c r="G8607" s="20"/>
      <c r="H8607"/>
      <c r="I8607"/>
    </row>
    <row r="8608" spans="2:9" ht="15" x14ac:dyDescent="0.25">
      <c r="B8608"/>
      <c r="C8608"/>
      <c r="D8608"/>
      <c r="E8608"/>
      <c r="F8608"/>
      <c r="G8608" s="20"/>
      <c r="H8608"/>
      <c r="I8608"/>
    </row>
    <row r="8609" spans="2:9" ht="15" x14ac:dyDescent="0.25">
      <c r="B8609"/>
      <c r="C8609"/>
      <c r="D8609"/>
      <c r="E8609"/>
      <c r="F8609"/>
      <c r="G8609" s="20"/>
      <c r="H8609"/>
      <c r="I8609"/>
    </row>
    <row r="8610" spans="2:9" ht="15" x14ac:dyDescent="0.25">
      <c r="B8610"/>
      <c r="C8610"/>
      <c r="D8610"/>
      <c r="E8610"/>
      <c r="F8610"/>
      <c r="G8610" s="20"/>
      <c r="H8610"/>
      <c r="I8610"/>
    </row>
    <row r="8611" spans="2:9" ht="15" x14ac:dyDescent="0.25">
      <c r="B8611"/>
      <c r="C8611"/>
      <c r="D8611"/>
      <c r="E8611"/>
      <c r="F8611"/>
      <c r="G8611" s="20"/>
      <c r="H8611"/>
      <c r="I8611"/>
    </row>
    <row r="8612" spans="2:9" ht="15" x14ac:dyDescent="0.25">
      <c r="B8612"/>
      <c r="C8612"/>
      <c r="D8612"/>
      <c r="E8612"/>
      <c r="F8612"/>
      <c r="G8612" s="20"/>
      <c r="H8612"/>
      <c r="I8612"/>
    </row>
    <row r="8613" spans="2:9" ht="15" x14ac:dyDescent="0.25">
      <c r="B8613"/>
      <c r="C8613"/>
      <c r="D8613"/>
      <c r="E8613"/>
      <c r="F8613"/>
      <c r="G8613" s="20"/>
      <c r="H8613"/>
      <c r="I8613"/>
    </row>
    <row r="8614" spans="2:9" ht="15" x14ac:dyDescent="0.25">
      <c r="B8614"/>
      <c r="C8614"/>
      <c r="D8614"/>
      <c r="E8614"/>
      <c r="F8614"/>
      <c r="G8614" s="20"/>
      <c r="H8614"/>
      <c r="I8614"/>
    </row>
    <row r="8615" spans="2:9" ht="15" x14ac:dyDescent="0.25">
      <c r="B8615"/>
      <c r="C8615"/>
      <c r="D8615"/>
      <c r="E8615"/>
      <c r="F8615"/>
      <c r="G8615" s="20"/>
      <c r="H8615"/>
      <c r="I8615"/>
    </row>
    <row r="8616" spans="2:9" ht="15" x14ac:dyDescent="0.25">
      <c r="B8616"/>
      <c r="C8616"/>
      <c r="D8616"/>
      <c r="E8616"/>
      <c r="F8616"/>
      <c r="G8616" s="20"/>
      <c r="H8616"/>
      <c r="I8616"/>
    </row>
    <row r="8617" spans="2:9" ht="15" x14ac:dyDescent="0.25">
      <c r="B8617"/>
      <c r="C8617"/>
      <c r="D8617"/>
      <c r="E8617"/>
      <c r="F8617"/>
      <c r="G8617" s="20"/>
      <c r="H8617"/>
      <c r="I8617"/>
    </row>
    <row r="8618" spans="2:9" ht="15" x14ac:dyDescent="0.25">
      <c r="B8618"/>
      <c r="C8618"/>
      <c r="D8618"/>
      <c r="E8618"/>
      <c r="F8618"/>
      <c r="G8618" s="20"/>
      <c r="H8618"/>
      <c r="I8618"/>
    </row>
    <row r="8619" spans="2:9" ht="15" x14ac:dyDescent="0.25">
      <c r="B8619"/>
      <c r="C8619"/>
      <c r="D8619"/>
      <c r="E8619"/>
      <c r="F8619"/>
      <c r="G8619" s="20"/>
      <c r="H8619"/>
      <c r="I8619"/>
    </row>
    <row r="8620" spans="2:9" ht="15" x14ac:dyDescent="0.25">
      <c r="B8620"/>
      <c r="C8620"/>
      <c r="D8620"/>
      <c r="E8620"/>
      <c r="F8620"/>
      <c r="G8620" s="20"/>
      <c r="H8620"/>
      <c r="I8620"/>
    </row>
    <row r="8621" spans="2:9" ht="15" x14ac:dyDescent="0.25">
      <c r="B8621"/>
      <c r="C8621"/>
      <c r="D8621"/>
      <c r="E8621"/>
      <c r="F8621"/>
      <c r="G8621" s="20"/>
      <c r="H8621"/>
      <c r="I8621"/>
    </row>
    <row r="8622" spans="2:9" ht="15" x14ac:dyDescent="0.25">
      <c r="B8622"/>
      <c r="C8622"/>
      <c r="D8622"/>
      <c r="E8622"/>
      <c r="F8622"/>
      <c r="G8622" s="20"/>
      <c r="H8622"/>
      <c r="I8622"/>
    </row>
    <row r="8623" spans="2:9" ht="15" x14ac:dyDescent="0.25">
      <c r="B8623"/>
      <c r="C8623"/>
      <c r="D8623"/>
      <c r="E8623"/>
      <c r="F8623"/>
      <c r="G8623" s="20"/>
      <c r="H8623"/>
      <c r="I8623"/>
    </row>
    <row r="8624" spans="2:9" ht="15" x14ac:dyDescent="0.25">
      <c r="B8624"/>
      <c r="C8624"/>
      <c r="D8624"/>
      <c r="E8624"/>
      <c r="F8624"/>
      <c r="G8624" s="20"/>
      <c r="H8624"/>
      <c r="I8624"/>
    </row>
    <row r="8625" spans="2:9" ht="15" x14ac:dyDescent="0.25">
      <c r="B8625"/>
      <c r="C8625"/>
      <c r="D8625"/>
      <c r="E8625"/>
      <c r="F8625"/>
      <c r="G8625" s="20"/>
      <c r="H8625"/>
      <c r="I8625"/>
    </row>
    <row r="8626" spans="2:9" ht="15" x14ac:dyDescent="0.25">
      <c r="B8626"/>
      <c r="C8626"/>
      <c r="D8626"/>
      <c r="E8626"/>
      <c r="F8626"/>
      <c r="G8626" s="20"/>
      <c r="H8626"/>
      <c r="I8626"/>
    </row>
    <row r="8627" spans="2:9" ht="15" x14ac:dyDescent="0.25">
      <c r="B8627"/>
      <c r="C8627"/>
      <c r="D8627"/>
      <c r="E8627"/>
      <c r="F8627"/>
      <c r="G8627" s="20"/>
      <c r="H8627"/>
      <c r="I8627"/>
    </row>
    <row r="8628" spans="2:9" ht="15" x14ac:dyDescent="0.25">
      <c r="B8628"/>
      <c r="C8628"/>
      <c r="D8628"/>
      <c r="E8628"/>
      <c r="F8628"/>
      <c r="G8628" s="20"/>
      <c r="H8628"/>
      <c r="I8628"/>
    </row>
    <row r="8629" spans="2:9" ht="15" x14ac:dyDescent="0.25">
      <c r="B8629"/>
      <c r="C8629"/>
      <c r="D8629"/>
      <c r="E8629"/>
      <c r="F8629"/>
      <c r="G8629" s="20"/>
      <c r="H8629"/>
      <c r="I8629"/>
    </row>
    <row r="8630" spans="2:9" ht="15" x14ac:dyDescent="0.25">
      <c r="B8630"/>
      <c r="C8630"/>
      <c r="D8630"/>
      <c r="E8630"/>
      <c r="F8630"/>
      <c r="G8630" s="20"/>
      <c r="H8630"/>
      <c r="I8630"/>
    </row>
    <row r="8631" spans="2:9" ht="15" x14ac:dyDescent="0.25">
      <c r="B8631"/>
      <c r="C8631"/>
      <c r="D8631"/>
      <c r="E8631"/>
      <c r="F8631"/>
      <c r="G8631" s="20"/>
      <c r="H8631"/>
      <c r="I8631"/>
    </row>
    <row r="8632" spans="2:9" ht="15" x14ac:dyDescent="0.25">
      <c r="B8632"/>
      <c r="C8632"/>
      <c r="D8632"/>
      <c r="E8632"/>
      <c r="F8632"/>
      <c r="G8632" s="20"/>
      <c r="H8632"/>
      <c r="I8632"/>
    </row>
    <row r="8633" spans="2:9" ht="15" x14ac:dyDescent="0.25">
      <c r="B8633"/>
      <c r="C8633"/>
      <c r="D8633"/>
      <c r="E8633"/>
      <c r="F8633"/>
      <c r="G8633" s="20"/>
      <c r="H8633"/>
      <c r="I8633"/>
    </row>
    <row r="8634" spans="2:9" ht="15" x14ac:dyDescent="0.25">
      <c r="B8634"/>
      <c r="C8634"/>
      <c r="D8634"/>
      <c r="E8634"/>
      <c r="F8634"/>
      <c r="G8634" s="20"/>
      <c r="H8634"/>
      <c r="I8634"/>
    </row>
    <row r="8635" spans="2:9" ht="15" x14ac:dyDescent="0.25">
      <c r="B8635"/>
      <c r="C8635"/>
      <c r="D8635"/>
      <c r="E8635"/>
      <c r="F8635"/>
      <c r="G8635" s="20"/>
      <c r="H8635"/>
      <c r="I8635"/>
    </row>
    <row r="8636" spans="2:9" ht="15" x14ac:dyDescent="0.25">
      <c r="B8636"/>
      <c r="C8636"/>
      <c r="D8636"/>
      <c r="E8636"/>
      <c r="F8636"/>
      <c r="G8636" s="20"/>
      <c r="H8636"/>
      <c r="I8636"/>
    </row>
    <row r="8637" spans="2:9" ht="15" x14ac:dyDescent="0.25">
      <c r="B8637"/>
      <c r="C8637"/>
      <c r="D8637"/>
      <c r="E8637"/>
      <c r="F8637"/>
      <c r="G8637" s="20"/>
      <c r="H8637"/>
      <c r="I8637"/>
    </row>
    <row r="8638" spans="2:9" ht="15" x14ac:dyDescent="0.25">
      <c r="B8638"/>
      <c r="C8638"/>
      <c r="D8638"/>
      <c r="E8638"/>
      <c r="F8638"/>
      <c r="G8638" s="20"/>
      <c r="H8638"/>
      <c r="I8638"/>
    </row>
    <row r="8639" spans="2:9" ht="15" x14ac:dyDescent="0.25">
      <c r="B8639"/>
      <c r="C8639"/>
      <c r="D8639"/>
      <c r="E8639"/>
      <c r="F8639"/>
      <c r="G8639" s="20"/>
      <c r="H8639"/>
      <c r="I8639"/>
    </row>
    <row r="8640" spans="2:9" ht="15" x14ac:dyDescent="0.25">
      <c r="B8640"/>
      <c r="C8640"/>
      <c r="D8640"/>
      <c r="E8640"/>
      <c r="F8640"/>
      <c r="G8640" s="20"/>
      <c r="H8640"/>
      <c r="I8640"/>
    </row>
    <row r="8641" spans="2:9" ht="15" x14ac:dyDescent="0.25">
      <c r="B8641"/>
      <c r="C8641"/>
      <c r="D8641"/>
      <c r="E8641"/>
      <c r="F8641"/>
      <c r="G8641" s="20"/>
      <c r="H8641"/>
      <c r="I8641"/>
    </row>
    <row r="8642" spans="2:9" ht="15" x14ac:dyDescent="0.25">
      <c r="B8642"/>
      <c r="C8642"/>
      <c r="D8642"/>
      <c r="E8642"/>
      <c r="F8642"/>
      <c r="G8642" s="20"/>
      <c r="H8642"/>
      <c r="I8642"/>
    </row>
    <row r="8643" spans="2:9" ht="15" x14ac:dyDescent="0.25">
      <c r="B8643"/>
      <c r="C8643"/>
      <c r="D8643"/>
      <c r="E8643"/>
      <c r="F8643"/>
      <c r="G8643" s="20"/>
      <c r="H8643"/>
      <c r="I8643"/>
    </row>
    <row r="8644" spans="2:9" ht="15" x14ac:dyDescent="0.25">
      <c r="B8644"/>
      <c r="C8644"/>
      <c r="D8644"/>
      <c r="E8644"/>
      <c r="F8644"/>
      <c r="G8644" s="20"/>
      <c r="H8644"/>
      <c r="I8644"/>
    </row>
    <row r="8645" spans="2:9" ht="15" x14ac:dyDescent="0.25">
      <c r="B8645"/>
      <c r="C8645"/>
      <c r="D8645"/>
      <c r="E8645"/>
      <c r="F8645"/>
      <c r="G8645" s="20"/>
      <c r="H8645"/>
      <c r="I8645"/>
    </row>
    <row r="8646" spans="2:9" ht="15" x14ac:dyDescent="0.25">
      <c r="B8646"/>
      <c r="C8646"/>
      <c r="D8646"/>
      <c r="E8646"/>
      <c r="F8646"/>
      <c r="G8646" s="20"/>
      <c r="H8646"/>
      <c r="I8646"/>
    </row>
    <row r="8647" spans="2:9" ht="15" x14ac:dyDescent="0.25">
      <c r="B8647"/>
      <c r="C8647"/>
      <c r="D8647"/>
      <c r="E8647"/>
      <c r="F8647"/>
      <c r="G8647" s="20"/>
      <c r="H8647"/>
      <c r="I8647"/>
    </row>
    <row r="8648" spans="2:9" ht="15" x14ac:dyDescent="0.25">
      <c r="B8648"/>
      <c r="C8648"/>
      <c r="D8648"/>
      <c r="E8648"/>
      <c r="F8648"/>
      <c r="G8648" s="20"/>
      <c r="H8648"/>
      <c r="I8648"/>
    </row>
    <row r="8649" spans="2:9" ht="15" x14ac:dyDescent="0.25">
      <c r="B8649"/>
      <c r="C8649"/>
      <c r="D8649"/>
      <c r="E8649"/>
      <c r="F8649"/>
      <c r="G8649" s="20"/>
      <c r="H8649"/>
      <c r="I8649"/>
    </row>
    <row r="8650" spans="2:9" ht="15" x14ac:dyDescent="0.25">
      <c r="B8650"/>
      <c r="C8650"/>
      <c r="D8650"/>
      <c r="E8650"/>
      <c r="F8650"/>
      <c r="G8650" s="20"/>
      <c r="H8650"/>
      <c r="I8650"/>
    </row>
    <row r="8651" spans="2:9" ht="15" x14ac:dyDescent="0.25">
      <c r="B8651"/>
      <c r="C8651"/>
      <c r="D8651"/>
      <c r="E8651"/>
      <c r="F8651"/>
      <c r="G8651" s="20"/>
      <c r="H8651"/>
      <c r="I8651"/>
    </row>
    <row r="8652" spans="2:9" ht="15" x14ac:dyDescent="0.25">
      <c r="B8652"/>
      <c r="C8652"/>
      <c r="D8652"/>
      <c r="E8652"/>
      <c r="F8652"/>
      <c r="G8652" s="20"/>
      <c r="H8652"/>
      <c r="I8652"/>
    </row>
    <row r="8653" spans="2:9" ht="15" x14ac:dyDescent="0.25">
      <c r="B8653"/>
      <c r="C8653"/>
      <c r="D8653"/>
      <c r="E8653"/>
      <c r="F8653"/>
      <c r="G8653" s="20"/>
      <c r="H8653"/>
      <c r="I8653"/>
    </row>
    <row r="8654" spans="2:9" ht="15" x14ac:dyDescent="0.25">
      <c r="B8654"/>
      <c r="C8654"/>
      <c r="D8654"/>
      <c r="E8654"/>
      <c r="F8654"/>
      <c r="G8654" s="20"/>
      <c r="H8654"/>
      <c r="I8654"/>
    </row>
    <row r="8655" spans="2:9" ht="15" x14ac:dyDescent="0.25">
      <c r="B8655"/>
      <c r="C8655"/>
      <c r="D8655"/>
      <c r="E8655"/>
      <c r="F8655"/>
      <c r="G8655" s="20"/>
      <c r="H8655"/>
      <c r="I8655"/>
    </row>
    <row r="8656" spans="2:9" ht="15" x14ac:dyDescent="0.25">
      <c r="B8656"/>
      <c r="C8656"/>
      <c r="D8656"/>
      <c r="E8656"/>
      <c r="F8656"/>
      <c r="G8656" s="20"/>
      <c r="H8656"/>
      <c r="I8656"/>
    </row>
    <row r="8657" spans="2:9" ht="15" x14ac:dyDescent="0.25">
      <c r="B8657"/>
      <c r="C8657"/>
      <c r="D8657"/>
      <c r="E8657"/>
      <c r="F8657"/>
      <c r="G8657" s="20"/>
      <c r="H8657"/>
      <c r="I8657"/>
    </row>
    <row r="8658" spans="2:9" ht="15" x14ac:dyDescent="0.25">
      <c r="B8658"/>
      <c r="C8658"/>
      <c r="D8658"/>
      <c r="E8658"/>
      <c r="F8658"/>
      <c r="G8658" s="20"/>
      <c r="H8658"/>
      <c r="I8658"/>
    </row>
    <row r="8659" spans="2:9" ht="15" x14ac:dyDescent="0.25">
      <c r="B8659"/>
      <c r="C8659"/>
      <c r="D8659"/>
      <c r="E8659"/>
      <c r="F8659"/>
      <c r="G8659" s="20"/>
      <c r="H8659"/>
      <c r="I8659"/>
    </row>
    <row r="8660" spans="2:9" ht="15" x14ac:dyDescent="0.25">
      <c r="B8660"/>
      <c r="C8660"/>
      <c r="D8660"/>
      <c r="E8660"/>
      <c r="F8660"/>
      <c r="G8660" s="20"/>
      <c r="H8660"/>
      <c r="I8660"/>
    </row>
    <row r="8661" spans="2:9" ht="15" x14ac:dyDescent="0.25">
      <c r="B8661"/>
      <c r="C8661"/>
      <c r="D8661"/>
      <c r="E8661"/>
      <c r="F8661"/>
      <c r="G8661" s="20"/>
      <c r="H8661"/>
      <c r="I8661"/>
    </row>
    <row r="8662" spans="2:9" ht="15" x14ac:dyDescent="0.25">
      <c r="B8662"/>
      <c r="C8662"/>
      <c r="D8662"/>
      <c r="E8662"/>
      <c r="F8662"/>
      <c r="G8662" s="20"/>
      <c r="H8662"/>
      <c r="I8662"/>
    </row>
    <row r="8663" spans="2:9" ht="15" x14ac:dyDescent="0.25">
      <c r="B8663"/>
      <c r="C8663"/>
      <c r="D8663"/>
      <c r="E8663"/>
      <c r="F8663"/>
      <c r="G8663" s="20"/>
      <c r="H8663"/>
      <c r="I8663"/>
    </row>
    <row r="8664" spans="2:9" ht="15" x14ac:dyDescent="0.25">
      <c r="B8664"/>
      <c r="C8664"/>
      <c r="D8664"/>
      <c r="E8664"/>
      <c r="F8664"/>
      <c r="G8664" s="20"/>
      <c r="H8664"/>
      <c r="I8664"/>
    </row>
    <row r="8665" spans="2:9" ht="15" x14ac:dyDescent="0.25">
      <c r="B8665"/>
      <c r="C8665"/>
      <c r="D8665"/>
      <c r="E8665"/>
      <c r="F8665"/>
      <c r="G8665" s="20"/>
      <c r="H8665"/>
      <c r="I8665"/>
    </row>
    <row r="8666" spans="2:9" ht="15" x14ac:dyDescent="0.25">
      <c r="B8666"/>
      <c r="C8666"/>
      <c r="D8666"/>
      <c r="E8666"/>
      <c r="F8666"/>
      <c r="G8666" s="20"/>
      <c r="H8666"/>
      <c r="I8666"/>
    </row>
    <row r="8667" spans="2:9" ht="15" x14ac:dyDescent="0.25">
      <c r="B8667"/>
      <c r="C8667"/>
      <c r="D8667"/>
      <c r="E8667"/>
      <c r="F8667"/>
      <c r="G8667" s="20"/>
      <c r="H8667"/>
      <c r="I8667"/>
    </row>
    <row r="8668" spans="2:9" ht="15" x14ac:dyDescent="0.25">
      <c r="B8668"/>
      <c r="C8668"/>
      <c r="D8668"/>
      <c r="E8668"/>
      <c r="F8668"/>
      <c r="G8668" s="20"/>
      <c r="H8668"/>
      <c r="I8668"/>
    </row>
    <row r="8669" spans="2:9" ht="15" x14ac:dyDescent="0.25">
      <c r="B8669"/>
      <c r="C8669"/>
      <c r="D8669"/>
      <c r="E8669"/>
      <c r="F8669"/>
      <c r="G8669" s="20"/>
      <c r="H8669"/>
      <c r="I8669"/>
    </row>
    <row r="8670" spans="2:9" ht="15" x14ac:dyDescent="0.25">
      <c r="B8670"/>
      <c r="C8670"/>
      <c r="D8670"/>
      <c r="E8670"/>
      <c r="F8670"/>
      <c r="G8670" s="20"/>
      <c r="H8670"/>
      <c r="I8670"/>
    </row>
    <row r="8671" spans="2:9" ht="15" x14ac:dyDescent="0.25">
      <c r="B8671"/>
      <c r="C8671"/>
      <c r="D8671"/>
      <c r="E8671"/>
      <c r="F8671"/>
      <c r="G8671" s="20"/>
      <c r="H8671"/>
      <c r="I8671"/>
    </row>
    <row r="8672" spans="2:9" ht="15" x14ac:dyDescent="0.25">
      <c r="B8672"/>
      <c r="C8672"/>
      <c r="D8672"/>
      <c r="E8672"/>
      <c r="F8672"/>
      <c r="G8672" s="20"/>
      <c r="H8672"/>
      <c r="I8672"/>
    </row>
    <row r="8673" spans="2:9" ht="15" x14ac:dyDescent="0.25">
      <c r="B8673"/>
      <c r="C8673"/>
      <c r="D8673"/>
      <c r="E8673"/>
      <c r="F8673"/>
      <c r="G8673" s="20"/>
      <c r="H8673"/>
      <c r="I8673"/>
    </row>
    <row r="8674" spans="2:9" ht="15" x14ac:dyDescent="0.25">
      <c r="B8674"/>
      <c r="C8674"/>
      <c r="D8674"/>
      <c r="E8674"/>
      <c r="F8674"/>
      <c r="G8674" s="20"/>
      <c r="H8674"/>
      <c r="I8674"/>
    </row>
    <row r="8675" spans="2:9" ht="15" x14ac:dyDescent="0.25">
      <c r="B8675"/>
      <c r="C8675"/>
      <c r="D8675"/>
      <c r="E8675"/>
      <c r="F8675"/>
      <c r="G8675" s="20"/>
      <c r="H8675"/>
      <c r="I8675"/>
    </row>
    <row r="8676" spans="2:9" ht="15" x14ac:dyDescent="0.25">
      <c r="B8676"/>
      <c r="C8676"/>
      <c r="D8676"/>
      <c r="E8676"/>
      <c r="F8676"/>
      <c r="G8676" s="20"/>
      <c r="H8676"/>
      <c r="I8676"/>
    </row>
    <row r="8677" spans="2:9" ht="15" x14ac:dyDescent="0.25">
      <c r="B8677"/>
      <c r="C8677"/>
      <c r="D8677"/>
      <c r="E8677"/>
      <c r="F8677"/>
      <c r="G8677" s="20"/>
      <c r="H8677"/>
      <c r="I8677"/>
    </row>
    <row r="8678" spans="2:9" ht="15" x14ac:dyDescent="0.25">
      <c r="B8678"/>
      <c r="C8678"/>
      <c r="D8678"/>
      <c r="E8678"/>
      <c r="F8678"/>
      <c r="G8678" s="20"/>
      <c r="H8678"/>
      <c r="I8678"/>
    </row>
    <row r="8679" spans="2:9" ht="15" x14ac:dyDescent="0.25">
      <c r="B8679"/>
      <c r="C8679"/>
      <c r="D8679"/>
      <c r="E8679"/>
      <c r="F8679"/>
      <c r="G8679" s="20"/>
      <c r="H8679"/>
      <c r="I8679"/>
    </row>
    <row r="8680" spans="2:9" ht="15" x14ac:dyDescent="0.25">
      <c r="B8680"/>
      <c r="C8680"/>
      <c r="D8680"/>
      <c r="E8680"/>
      <c r="F8680"/>
      <c r="G8680" s="20"/>
      <c r="H8680"/>
      <c r="I8680"/>
    </row>
    <row r="8681" spans="2:9" ht="15" x14ac:dyDescent="0.25">
      <c r="B8681"/>
      <c r="C8681"/>
      <c r="D8681"/>
      <c r="E8681"/>
      <c r="F8681"/>
      <c r="G8681" s="20"/>
      <c r="H8681"/>
      <c r="I8681"/>
    </row>
    <row r="8682" spans="2:9" ht="15" x14ac:dyDescent="0.25">
      <c r="B8682"/>
      <c r="C8682"/>
      <c r="D8682"/>
      <c r="E8682"/>
      <c r="F8682"/>
      <c r="G8682" s="20"/>
      <c r="H8682"/>
      <c r="I8682"/>
    </row>
    <row r="8683" spans="2:9" ht="15" x14ac:dyDescent="0.25">
      <c r="B8683"/>
      <c r="C8683"/>
      <c r="D8683"/>
      <c r="E8683"/>
      <c r="F8683"/>
      <c r="G8683" s="20"/>
      <c r="H8683"/>
      <c r="I8683"/>
    </row>
    <row r="8684" spans="2:9" ht="15" x14ac:dyDescent="0.25">
      <c r="B8684"/>
      <c r="C8684"/>
      <c r="D8684"/>
      <c r="E8684"/>
      <c r="F8684"/>
      <c r="G8684" s="20"/>
      <c r="H8684"/>
      <c r="I8684"/>
    </row>
    <row r="8685" spans="2:9" ht="15" x14ac:dyDescent="0.25">
      <c r="B8685"/>
      <c r="C8685"/>
      <c r="D8685"/>
      <c r="E8685"/>
      <c r="F8685"/>
      <c r="G8685" s="20"/>
      <c r="H8685"/>
      <c r="I8685"/>
    </row>
    <row r="8686" spans="2:9" ht="15" x14ac:dyDescent="0.25">
      <c r="B8686"/>
      <c r="C8686"/>
      <c r="D8686"/>
      <c r="E8686"/>
      <c r="F8686"/>
      <c r="G8686" s="20"/>
      <c r="H8686"/>
      <c r="I8686"/>
    </row>
    <row r="8687" spans="2:9" ht="15" x14ac:dyDescent="0.25">
      <c r="B8687"/>
      <c r="C8687"/>
      <c r="D8687"/>
      <c r="E8687"/>
      <c r="F8687"/>
      <c r="G8687" s="20"/>
      <c r="H8687"/>
      <c r="I8687"/>
    </row>
    <row r="8688" spans="2:9" ht="15" x14ac:dyDescent="0.25">
      <c r="B8688"/>
      <c r="C8688"/>
      <c r="D8688"/>
      <c r="E8688"/>
      <c r="F8688"/>
      <c r="G8688" s="20"/>
      <c r="H8688"/>
      <c r="I8688"/>
    </row>
    <row r="8689" spans="2:9" ht="15" x14ac:dyDescent="0.25">
      <c r="B8689"/>
      <c r="C8689"/>
      <c r="D8689"/>
      <c r="E8689"/>
      <c r="F8689"/>
      <c r="G8689" s="20"/>
      <c r="H8689"/>
      <c r="I8689"/>
    </row>
    <row r="8690" spans="2:9" ht="15" x14ac:dyDescent="0.25">
      <c r="B8690"/>
      <c r="C8690"/>
      <c r="D8690"/>
      <c r="E8690"/>
      <c r="F8690"/>
      <c r="G8690" s="20"/>
      <c r="H8690"/>
      <c r="I8690"/>
    </row>
    <row r="8691" spans="2:9" ht="15" x14ac:dyDescent="0.25">
      <c r="B8691"/>
      <c r="C8691"/>
      <c r="D8691"/>
      <c r="E8691"/>
      <c r="F8691"/>
      <c r="G8691" s="20"/>
      <c r="H8691"/>
      <c r="I8691"/>
    </row>
    <row r="8692" spans="2:9" ht="15" x14ac:dyDescent="0.25">
      <c r="B8692"/>
      <c r="C8692"/>
      <c r="D8692"/>
      <c r="E8692"/>
      <c r="F8692"/>
      <c r="G8692" s="20"/>
      <c r="H8692"/>
      <c r="I8692"/>
    </row>
    <row r="8693" spans="2:9" ht="15" x14ac:dyDescent="0.25">
      <c r="B8693"/>
      <c r="C8693"/>
      <c r="D8693"/>
      <c r="E8693"/>
      <c r="F8693"/>
      <c r="G8693" s="20"/>
      <c r="H8693"/>
      <c r="I8693"/>
    </row>
    <row r="8694" spans="2:9" ht="15" x14ac:dyDescent="0.25">
      <c r="B8694"/>
      <c r="C8694"/>
      <c r="D8694"/>
      <c r="E8694"/>
      <c r="F8694"/>
      <c r="G8694" s="20"/>
      <c r="H8694"/>
      <c r="I8694"/>
    </row>
    <row r="8695" spans="2:9" ht="15" x14ac:dyDescent="0.25">
      <c r="B8695"/>
      <c r="C8695"/>
      <c r="D8695"/>
      <c r="E8695"/>
      <c r="F8695"/>
      <c r="G8695" s="20"/>
      <c r="H8695"/>
      <c r="I8695"/>
    </row>
    <row r="8696" spans="2:9" ht="15" x14ac:dyDescent="0.25">
      <c r="B8696"/>
      <c r="C8696"/>
      <c r="D8696"/>
      <c r="E8696"/>
      <c r="F8696"/>
      <c r="G8696" s="20"/>
      <c r="H8696"/>
      <c r="I8696"/>
    </row>
    <row r="8697" spans="2:9" ht="15" x14ac:dyDescent="0.25">
      <c r="B8697"/>
      <c r="C8697"/>
      <c r="D8697"/>
      <c r="E8697"/>
      <c r="F8697"/>
      <c r="G8697" s="20"/>
      <c r="H8697"/>
      <c r="I8697"/>
    </row>
    <row r="8698" spans="2:9" ht="15" x14ac:dyDescent="0.25">
      <c r="B8698"/>
      <c r="C8698"/>
      <c r="D8698"/>
      <c r="E8698"/>
      <c r="F8698"/>
      <c r="G8698" s="20"/>
      <c r="H8698"/>
      <c r="I8698"/>
    </row>
    <row r="8699" spans="2:9" ht="15" x14ac:dyDescent="0.25">
      <c r="B8699"/>
      <c r="C8699"/>
      <c r="D8699"/>
      <c r="E8699"/>
      <c r="F8699"/>
      <c r="G8699" s="20"/>
      <c r="H8699"/>
      <c r="I8699"/>
    </row>
    <row r="8700" spans="2:9" ht="15" x14ac:dyDescent="0.25">
      <c r="B8700"/>
      <c r="C8700"/>
      <c r="D8700"/>
      <c r="E8700"/>
      <c r="F8700"/>
      <c r="G8700" s="20"/>
      <c r="H8700"/>
      <c r="I8700"/>
    </row>
    <row r="8701" spans="2:9" ht="15" x14ac:dyDescent="0.25">
      <c r="B8701"/>
      <c r="C8701"/>
      <c r="D8701"/>
      <c r="E8701"/>
      <c r="F8701"/>
      <c r="G8701" s="20"/>
      <c r="H8701"/>
      <c r="I8701"/>
    </row>
    <row r="8702" spans="2:9" ht="15" x14ac:dyDescent="0.25">
      <c r="B8702"/>
      <c r="C8702"/>
      <c r="D8702"/>
      <c r="E8702"/>
      <c r="F8702"/>
      <c r="G8702" s="20"/>
      <c r="H8702"/>
      <c r="I8702"/>
    </row>
    <row r="8703" spans="2:9" ht="15" x14ac:dyDescent="0.25">
      <c r="B8703"/>
      <c r="C8703"/>
      <c r="D8703"/>
      <c r="E8703"/>
      <c r="F8703"/>
      <c r="G8703" s="20"/>
      <c r="H8703"/>
      <c r="I8703"/>
    </row>
    <row r="8704" spans="2:9" ht="15" x14ac:dyDescent="0.25">
      <c r="B8704"/>
      <c r="C8704"/>
      <c r="D8704"/>
      <c r="E8704"/>
      <c r="F8704"/>
      <c r="G8704" s="20"/>
      <c r="H8704"/>
      <c r="I8704"/>
    </row>
    <row r="8705" spans="2:9" ht="15" x14ac:dyDescent="0.25">
      <c r="B8705"/>
      <c r="C8705"/>
      <c r="D8705"/>
      <c r="E8705"/>
      <c r="F8705"/>
      <c r="G8705" s="20"/>
      <c r="H8705"/>
      <c r="I8705"/>
    </row>
    <row r="8706" spans="2:9" ht="15" x14ac:dyDescent="0.25">
      <c r="B8706"/>
      <c r="C8706"/>
      <c r="D8706"/>
      <c r="E8706"/>
      <c r="F8706"/>
      <c r="G8706" s="20"/>
      <c r="H8706"/>
      <c r="I8706"/>
    </row>
    <row r="8707" spans="2:9" ht="15" x14ac:dyDescent="0.25">
      <c r="B8707"/>
      <c r="C8707"/>
      <c r="D8707"/>
      <c r="E8707"/>
      <c r="F8707"/>
      <c r="G8707" s="20"/>
      <c r="H8707"/>
      <c r="I8707"/>
    </row>
    <row r="8708" spans="2:9" ht="15" x14ac:dyDescent="0.25">
      <c r="B8708"/>
      <c r="C8708"/>
      <c r="D8708"/>
      <c r="E8708"/>
      <c r="F8708"/>
      <c r="G8708" s="20"/>
      <c r="H8708"/>
      <c r="I8708"/>
    </row>
    <row r="8709" spans="2:9" ht="15" x14ac:dyDescent="0.25">
      <c r="B8709"/>
      <c r="C8709"/>
      <c r="D8709"/>
      <c r="E8709"/>
      <c r="F8709"/>
      <c r="G8709" s="20"/>
      <c r="H8709"/>
      <c r="I8709"/>
    </row>
    <row r="8710" spans="2:9" ht="15" x14ac:dyDescent="0.25">
      <c r="B8710"/>
      <c r="C8710"/>
      <c r="D8710"/>
      <c r="E8710"/>
      <c r="F8710"/>
      <c r="G8710" s="20"/>
      <c r="H8710"/>
      <c r="I8710"/>
    </row>
    <row r="8711" spans="2:9" ht="15" x14ac:dyDescent="0.25">
      <c r="B8711"/>
      <c r="C8711"/>
      <c r="D8711"/>
      <c r="E8711"/>
      <c r="F8711"/>
      <c r="G8711" s="20"/>
      <c r="H8711"/>
      <c r="I8711"/>
    </row>
    <row r="8712" spans="2:9" ht="15" x14ac:dyDescent="0.25">
      <c r="B8712"/>
      <c r="C8712"/>
      <c r="D8712"/>
      <c r="E8712"/>
      <c r="F8712"/>
      <c r="G8712" s="20"/>
      <c r="H8712"/>
      <c r="I8712"/>
    </row>
    <row r="8713" spans="2:9" ht="15" x14ac:dyDescent="0.25">
      <c r="B8713"/>
      <c r="C8713"/>
      <c r="D8713"/>
      <c r="E8713"/>
      <c r="F8713"/>
      <c r="G8713" s="20"/>
      <c r="H8713"/>
      <c r="I8713"/>
    </row>
    <row r="8714" spans="2:9" ht="15" x14ac:dyDescent="0.25">
      <c r="B8714"/>
      <c r="C8714"/>
      <c r="D8714"/>
      <c r="E8714"/>
      <c r="F8714"/>
      <c r="G8714" s="20"/>
      <c r="H8714"/>
      <c r="I8714"/>
    </row>
    <row r="8715" spans="2:9" ht="15" x14ac:dyDescent="0.25">
      <c r="B8715"/>
      <c r="C8715"/>
      <c r="D8715"/>
      <c r="E8715"/>
      <c r="F8715"/>
      <c r="G8715" s="20"/>
      <c r="H8715"/>
      <c r="I8715"/>
    </row>
    <row r="8716" spans="2:9" ht="15" x14ac:dyDescent="0.25">
      <c r="B8716"/>
      <c r="C8716"/>
      <c r="D8716"/>
      <c r="E8716"/>
      <c r="F8716"/>
      <c r="G8716" s="20"/>
      <c r="H8716"/>
      <c r="I8716"/>
    </row>
    <row r="8717" spans="2:9" ht="15" x14ac:dyDescent="0.25">
      <c r="B8717"/>
      <c r="C8717"/>
      <c r="D8717"/>
      <c r="E8717"/>
      <c r="F8717"/>
      <c r="G8717" s="20"/>
      <c r="H8717"/>
      <c r="I8717"/>
    </row>
    <row r="8718" spans="2:9" ht="15" x14ac:dyDescent="0.25">
      <c r="B8718"/>
      <c r="C8718"/>
      <c r="D8718"/>
      <c r="E8718"/>
      <c r="F8718"/>
      <c r="G8718" s="20"/>
      <c r="H8718"/>
      <c r="I8718"/>
    </row>
    <row r="8719" spans="2:9" ht="15" x14ac:dyDescent="0.25">
      <c r="B8719"/>
      <c r="C8719"/>
      <c r="D8719"/>
      <c r="E8719"/>
      <c r="F8719"/>
      <c r="G8719" s="20"/>
      <c r="H8719"/>
      <c r="I8719"/>
    </row>
    <row r="8720" spans="2:9" ht="15" x14ac:dyDescent="0.25">
      <c r="B8720"/>
      <c r="C8720"/>
      <c r="D8720"/>
      <c r="E8720"/>
      <c r="F8720"/>
      <c r="G8720" s="20"/>
      <c r="H8720"/>
      <c r="I8720"/>
    </row>
    <row r="8721" spans="2:9" ht="15" x14ac:dyDescent="0.25">
      <c r="B8721"/>
      <c r="C8721"/>
      <c r="D8721"/>
      <c r="E8721"/>
      <c r="F8721"/>
      <c r="G8721" s="20"/>
      <c r="H8721"/>
      <c r="I8721"/>
    </row>
    <row r="8722" spans="2:9" ht="15" x14ac:dyDescent="0.25">
      <c r="B8722"/>
      <c r="C8722"/>
      <c r="D8722"/>
      <c r="E8722"/>
      <c r="F8722"/>
      <c r="G8722" s="20"/>
      <c r="H8722"/>
      <c r="I8722"/>
    </row>
    <row r="8723" spans="2:9" ht="15" x14ac:dyDescent="0.25">
      <c r="B8723"/>
      <c r="C8723"/>
      <c r="D8723"/>
      <c r="E8723"/>
      <c r="F8723"/>
      <c r="G8723" s="20"/>
      <c r="H8723"/>
      <c r="I8723"/>
    </row>
    <row r="8724" spans="2:9" ht="15" x14ac:dyDescent="0.25">
      <c r="B8724"/>
      <c r="C8724"/>
      <c r="D8724"/>
      <c r="E8724"/>
      <c r="F8724"/>
      <c r="G8724" s="20"/>
      <c r="H8724"/>
      <c r="I8724"/>
    </row>
    <row r="8725" spans="2:9" ht="15" x14ac:dyDescent="0.25">
      <c r="B8725"/>
      <c r="C8725"/>
      <c r="D8725"/>
      <c r="E8725"/>
      <c r="F8725"/>
      <c r="G8725" s="20"/>
      <c r="H8725"/>
      <c r="I8725"/>
    </row>
    <row r="8726" spans="2:9" ht="15" x14ac:dyDescent="0.25">
      <c r="B8726"/>
      <c r="C8726"/>
      <c r="D8726"/>
      <c r="E8726"/>
      <c r="F8726"/>
      <c r="G8726" s="20"/>
      <c r="H8726"/>
      <c r="I8726"/>
    </row>
    <row r="8727" spans="2:9" ht="15" x14ac:dyDescent="0.25">
      <c r="B8727"/>
      <c r="C8727"/>
      <c r="D8727"/>
      <c r="E8727"/>
      <c r="F8727"/>
      <c r="G8727" s="20"/>
      <c r="H8727"/>
      <c r="I8727"/>
    </row>
    <row r="8728" spans="2:9" ht="15" x14ac:dyDescent="0.25">
      <c r="B8728"/>
      <c r="C8728"/>
      <c r="D8728"/>
      <c r="E8728"/>
      <c r="F8728"/>
      <c r="G8728" s="20"/>
      <c r="H8728"/>
      <c r="I8728"/>
    </row>
    <row r="8729" spans="2:9" ht="15" x14ac:dyDescent="0.25">
      <c r="B8729"/>
      <c r="C8729"/>
      <c r="D8729"/>
      <c r="E8729"/>
      <c r="F8729"/>
      <c r="G8729" s="20"/>
      <c r="H8729"/>
      <c r="I8729"/>
    </row>
    <row r="8730" spans="2:9" ht="15" x14ac:dyDescent="0.25">
      <c r="B8730"/>
      <c r="C8730"/>
      <c r="D8730"/>
      <c r="E8730"/>
      <c r="F8730"/>
      <c r="G8730" s="20"/>
      <c r="H8730"/>
      <c r="I8730"/>
    </row>
    <row r="8731" spans="2:9" ht="15" x14ac:dyDescent="0.25">
      <c r="B8731"/>
      <c r="C8731"/>
      <c r="D8731"/>
      <c r="E8731"/>
      <c r="F8731"/>
      <c r="G8731" s="20"/>
      <c r="H8731"/>
      <c r="I8731"/>
    </row>
    <row r="8732" spans="2:9" ht="15" x14ac:dyDescent="0.25">
      <c r="B8732"/>
      <c r="C8732"/>
      <c r="D8732"/>
      <c r="E8732"/>
      <c r="F8732"/>
      <c r="G8732" s="20"/>
      <c r="H8732"/>
      <c r="I8732"/>
    </row>
    <row r="8733" spans="2:9" ht="15" x14ac:dyDescent="0.25">
      <c r="B8733"/>
      <c r="C8733"/>
      <c r="D8733"/>
      <c r="E8733"/>
      <c r="F8733"/>
      <c r="G8733" s="20"/>
      <c r="H8733"/>
      <c r="I8733"/>
    </row>
    <row r="8734" spans="2:9" ht="15" x14ac:dyDescent="0.25">
      <c r="B8734"/>
      <c r="C8734"/>
      <c r="D8734"/>
      <c r="E8734"/>
      <c r="F8734"/>
      <c r="G8734" s="20"/>
      <c r="H8734"/>
      <c r="I8734"/>
    </row>
    <row r="8735" spans="2:9" ht="15" x14ac:dyDescent="0.25">
      <c r="B8735"/>
      <c r="C8735"/>
      <c r="D8735"/>
      <c r="E8735"/>
      <c r="F8735"/>
      <c r="G8735" s="20"/>
      <c r="H8735"/>
      <c r="I8735"/>
    </row>
    <row r="8736" spans="2:9" ht="15" x14ac:dyDescent="0.25">
      <c r="B8736"/>
      <c r="C8736"/>
      <c r="D8736"/>
      <c r="E8736"/>
      <c r="F8736"/>
      <c r="G8736" s="20"/>
      <c r="H8736"/>
      <c r="I8736"/>
    </row>
    <row r="8737" spans="2:9" ht="15" x14ac:dyDescent="0.25">
      <c r="B8737"/>
      <c r="C8737"/>
      <c r="D8737"/>
      <c r="E8737"/>
      <c r="F8737"/>
      <c r="G8737" s="20"/>
      <c r="H8737"/>
      <c r="I8737"/>
    </row>
    <row r="8738" spans="2:9" ht="15" x14ac:dyDescent="0.25">
      <c r="B8738"/>
      <c r="C8738"/>
      <c r="D8738"/>
      <c r="E8738"/>
      <c r="F8738"/>
      <c r="G8738" s="20"/>
      <c r="H8738"/>
      <c r="I8738"/>
    </row>
    <row r="8739" spans="2:9" ht="15" x14ac:dyDescent="0.25">
      <c r="B8739"/>
      <c r="C8739"/>
      <c r="D8739"/>
      <c r="E8739"/>
      <c r="F8739"/>
      <c r="G8739" s="20"/>
      <c r="H8739"/>
      <c r="I8739"/>
    </row>
    <row r="8740" spans="2:9" ht="15" x14ac:dyDescent="0.25">
      <c r="B8740"/>
      <c r="C8740"/>
      <c r="D8740"/>
      <c r="E8740"/>
      <c r="F8740"/>
      <c r="G8740" s="20"/>
      <c r="H8740"/>
      <c r="I8740"/>
    </row>
    <row r="8741" spans="2:9" ht="15" x14ac:dyDescent="0.25">
      <c r="B8741"/>
      <c r="C8741"/>
      <c r="D8741"/>
      <c r="E8741"/>
      <c r="F8741"/>
      <c r="G8741" s="20"/>
      <c r="H8741"/>
      <c r="I8741"/>
    </row>
    <row r="8742" spans="2:9" ht="15" x14ac:dyDescent="0.25">
      <c r="B8742"/>
      <c r="C8742"/>
      <c r="D8742"/>
      <c r="E8742"/>
      <c r="F8742"/>
      <c r="G8742" s="20"/>
      <c r="H8742"/>
      <c r="I8742"/>
    </row>
    <row r="8743" spans="2:9" ht="15" x14ac:dyDescent="0.25">
      <c r="B8743"/>
      <c r="C8743"/>
      <c r="D8743"/>
      <c r="E8743"/>
      <c r="F8743"/>
      <c r="G8743" s="20"/>
      <c r="H8743"/>
      <c r="I8743"/>
    </row>
    <row r="8744" spans="2:9" ht="15" x14ac:dyDescent="0.25">
      <c r="B8744"/>
      <c r="C8744"/>
      <c r="D8744"/>
      <c r="E8744"/>
      <c r="F8744"/>
      <c r="G8744" s="20"/>
      <c r="H8744"/>
      <c r="I8744"/>
    </row>
    <row r="8745" spans="2:9" ht="15" x14ac:dyDescent="0.25">
      <c r="B8745"/>
      <c r="C8745"/>
      <c r="D8745"/>
      <c r="E8745"/>
      <c r="F8745"/>
      <c r="G8745" s="20"/>
      <c r="H8745"/>
      <c r="I8745"/>
    </row>
    <row r="8746" spans="2:9" ht="15" x14ac:dyDescent="0.25">
      <c r="B8746"/>
      <c r="C8746"/>
      <c r="D8746"/>
      <c r="E8746"/>
      <c r="F8746"/>
      <c r="G8746" s="20"/>
      <c r="H8746"/>
      <c r="I8746"/>
    </row>
    <row r="8747" spans="2:9" ht="15" x14ac:dyDescent="0.25">
      <c r="B8747"/>
      <c r="C8747"/>
      <c r="D8747"/>
      <c r="E8747"/>
      <c r="F8747"/>
      <c r="G8747" s="20"/>
      <c r="H8747"/>
      <c r="I8747"/>
    </row>
    <row r="8748" spans="2:9" ht="15" x14ac:dyDescent="0.25">
      <c r="B8748"/>
      <c r="C8748"/>
      <c r="D8748"/>
      <c r="E8748"/>
      <c r="F8748"/>
      <c r="G8748" s="20"/>
      <c r="H8748"/>
      <c r="I8748"/>
    </row>
    <row r="8749" spans="2:9" ht="15" x14ac:dyDescent="0.25">
      <c r="B8749"/>
      <c r="C8749"/>
      <c r="D8749"/>
      <c r="E8749"/>
      <c r="F8749"/>
      <c r="G8749" s="20"/>
      <c r="H8749"/>
      <c r="I8749"/>
    </row>
    <row r="8750" spans="2:9" ht="15" x14ac:dyDescent="0.25">
      <c r="B8750"/>
      <c r="C8750"/>
      <c r="D8750"/>
      <c r="E8750"/>
      <c r="F8750"/>
      <c r="G8750" s="20"/>
      <c r="H8750"/>
      <c r="I8750"/>
    </row>
    <row r="8751" spans="2:9" ht="15" x14ac:dyDescent="0.25">
      <c r="B8751"/>
      <c r="C8751"/>
      <c r="D8751"/>
      <c r="E8751"/>
      <c r="F8751"/>
      <c r="G8751" s="20"/>
      <c r="H8751"/>
      <c r="I8751"/>
    </row>
    <row r="8752" spans="2:9" ht="15" x14ac:dyDescent="0.25">
      <c r="B8752"/>
      <c r="C8752"/>
      <c r="D8752"/>
      <c r="E8752"/>
      <c r="F8752"/>
      <c r="G8752" s="20"/>
      <c r="H8752"/>
      <c r="I8752"/>
    </row>
    <row r="8753" spans="2:9" ht="15" x14ac:dyDescent="0.25">
      <c r="B8753"/>
      <c r="C8753"/>
      <c r="D8753"/>
      <c r="E8753"/>
      <c r="F8753"/>
      <c r="G8753" s="20"/>
      <c r="H8753"/>
      <c r="I8753"/>
    </row>
    <row r="8754" spans="2:9" ht="15" x14ac:dyDescent="0.25">
      <c r="B8754"/>
      <c r="C8754"/>
      <c r="D8754"/>
      <c r="E8754"/>
      <c r="F8754"/>
      <c r="G8754" s="20"/>
      <c r="H8754"/>
      <c r="I8754"/>
    </row>
    <row r="8755" spans="2:9" ht="15" x14ac:dyDescent="0.25">
      <c r="B8755"/>
      <c r="C8755"/>
      <c r="D8755"/>
      <c r="E8755"/>
      <c r="F8755"/>
      <c r="G8755" s="20"/>
      <c r="H8755"/>
      <c r="I8755"/>
    </row>
    <row r="8756" spans="2:9" ht="15" x14ac:dyDescent="0.25">
      <c r="B8756"/>
      <c r="C8756"/>
      <c r="D8756"/>
      <c r="E8756"/>
      <c r="F8756"/>
      <c r="G8756" s="20"/>
      <c r="H8756"/>
      <c r="I8756"/>
    </row>
    <row r="8757" spans="2:9" ht="15" x14ac:dyDescent="0.25">
      <c r="B8757"/>
      <c r="C8757"/>
      <c r="D8757"/>
      <c r="E8757"/>
      <c r="F8757"/>
      <c r="G8757" s="20"/>
      <c r="H8757"/>
      <c r="I8757"/>
    </row>
    <row r="8758" spans="2:9" ht="15" x14ac:dyDescent="0.25">
      <c r="B8758"/>
      <c r="C8758"/>
      <c r="D8758"/>
      <c r="E8758"/>
      <c r="F8758"/>
      <c r="G8758" s="20"/>
      <c r="H8758"/>
      <c r="I8758"/>
    </row>
    <row r="8759" spans="2:9" ht="15" x14ac:dyDescent="0.25">
      <c r="B8759"/>
      <c r="C8759"/>
      <c r="D8759"/>
      <c r="E8759"/>
      <c r="F8759"/>
      <c r="G8759" s="20"/>
      <c r="H8759"/>
      <c r="I8759"/>
    </row>
    <row r="8760" spans="2:9" ht="15" x14ac:dyDescent="0.25">
      <c r="B8760"/>
      <c r="C8760"/>
      <c r="D8760"/>
      <c r="E8760"/>
      <c r="F8760"/>
      <c r="G8760" s="20"/>
      <c r="H8760"/>
      <c r="I8760"/>
    </row>
    <row r="8761" spans="2:9" ht="15" x14ac:dyDescent="0.25">
      <c r="B8761"/>
      <c r="C8761"/>
      <c r="D8761"/>
      <c r="E8761"/>
      <c r="F8761"/>
      <c r="G8761" s="20"/>
      <c r="H8761"/>
      <c r="I8761"/>
    </row>
    <row r="8762" spans="2:9" ht="15" x14ac:dyDescent="0.25">
      <c r="B8762"/>
      <c r="C8762"/>
      <c r="D8762"/>
      <c r="E8762"/>
      <c r="F8762"/>
      <c r="G8762" s="20"/>
      <c r="H8762"/>
      <c r="I8762"/>
    </row>
    <row r="8763" spans="2:9" ht="15" x14ac:dyDescent="0.25">
      <c r="B8763"/>
      <c r="C8763"/>
      <c r="D8763"/>
      <c r="E8763"/>
      <c r="F8763"/>
      <c r="G8763" s="20"/>
      <c r="H8763"/>
      <c r="I8763"/>
    </row>
    <row r="8764" spans="2:9" ht="15" x14ac:dyDescent="0.25">
      <c r="B8764"/>
      <c r="C8764"/>
      <c r="D8764"/>
      <c r="E8764"/>
      <c r="F8764"/>
      <c r="G8764" s="20"/>
      <c r="H8764"/>
      <c r="I8764"/>
    </row>
    <row r="8765" spans="2:9" ht="15" x14ac:dyDescent="0.25">
      <c r="B8765"/>
      <c r="C8765"/>
      <c r="D8765"/>
      <c r="E8765"/>
      <c r="F8765"/>
      <c r="G8765" s="20"/>
      <c r="H8765"/>
      <c r="I8765"/>
    </row>
    <row r="8766" spans="2:9" ht="15" x14ac:dyDescent="0.25">
      <c r="B8766"/>
      <c r="C8766"/>
      <c r="D8766"/>
      <c r="E8766"/>
      <c r="F8766"/>
      <c r="G8766" s="20"/>
      <c r="H8766"/>
      <c r="I8766"/>
    </row>
    <row r="8767" spans="2:9" ht="15" x14ac:dyDescent="0.25">
      <c r="B8767"/>
      <c r="C8767"/>
      <c r="D8767"/>
      <c r="E8767"/>
      <c r="F8767"/>
      <c r="G8767" s="20"/>
      <c r="H8767"/>
      <c r="I8767"/>
    </row>
    <row r="8768" spans="2:9" ht="15" x14ac:dyDescent="0.25">
      <c r="B8768"/>
      <c r="C8768"/>
      <c r="D8768"/>
      <c r="E8768"/>
      <c r="F8768"/>
      <c r="G8768" s="20"/>
      <c r="H8768"/>
      <c r="I8768"/>
    </row>
    <row r="8769" spans="2:9" ht="15" x14ac:dyDescent="0.25">
      <c r="B8769"/>
      <c r="C8769"/>
      <c r="D8769"/>
      <c r="E8769"/>
      <c r="F8769"/>
      <c r="G8769" s="20"/>
      <c r="H8769"/>
      <c r="I8769"/>
    </row>
    <row r="8770" spans="2:9" ht="15" x14ac:dyDescent="0.25">
      <c r="B8770"/>
      <c r="C8770"/>
      <c r="D8770"/>
      <c r="E8770"/>
      <c r="F8770"/>
      <c r="G8770" s="20"/>
      <c r="H8770"/>
      <c r="I8770"/>
    </row>
    <row r="8771" spans="2:9" ht="15" x14ac:dyDescent="0.25">
      <c r="B8771"/>
      <c r="C8771"/>
      <c r="D8771"/>
      <c r="E8771"/>
      <c r="F8771"/>
      <c r="G8771" s="20"/>
      <c r="H8771"/>
      <c r="I8771"/>
    </row>
    <row r="8772" spans="2:9" ht="15" x14ac:dyDescent="0.25">
      <c r="B8772"/>
      <c r="C8772"/>
      <c r="D8772"/>
      <c r="E8772"/>
      <c r="F8772"/>
      <c r="G8772" s="20"/>
      <c r="H8772"/>
      <c r="I8772"/>
    </row>
    <row r="8773" spans="2:9" ht="15" x14ac:dyDescent="0.25">
      <c r="B8773"/>
      <c r="C8773"/>
      <c r="D8773"/>
      <c r="E8773"/>
      <c r="F8773"/>
      <c r="G8773" s="20"/>
      <c r="H8773"/>
      <c r="I8773"/>
    </row>
    <row r="8774" spans="2:9" ht="15" x14ac:dyDescent="0.25">
      <c r="B8774"/>
      <c r="C8774"/>
      <c r="D8774"/>
      <c r="E8774"/>
      <c r="F8774"/>
      <c r="G8774" s="20"/>
      <c r="H8774"/>
      <c r="I8774"/>
    </row>
    <row r="8775" spans="2:9" ht="15" x14ac:dyDescent="0.25">
      <c r="B8775"/>
      <c r="C8775"/>
      <c r="D8775"/>
      <c r="E8775"/>
      <c r="F8775"/>
      <c r="G8775" s="20"/>
      <c r="H8775"/>
      <c r="I8775"/>
    </row>
    <row r="8776" spans="2:9" ht="15" x14ac:dyDescent="0.25">
      <c r="B8776"/>
      <c r="C8776"/>
      <c r="D8776"/>
      <c r="E8776"/>
      <c r="F8776"/>
      <c r="G8776" s="20"/>
      <c r="H8776"/>
      <c r="I8776"/>
    </row>
    <row r="8777" spans="2:9" ht="15" x14ac:dyDescent="0.25">
      <c r="B8777"/>
      <c r="C8777"/>
      <c r="D8777"/>
      <c r="E8777"/>
      <c r="F8777"/>
      <c r="G8777" s="20"/>
      <c r="H8777"/>
      <c r="I8777"/>
    </row>
    <row r="8778" spans="2:9" ht="15" x14ac:dyDescent="0.25">
      <c r="B8778"/>
      <c r="C8778"/>
      <c r="D8778"/>
      <c r="E8778"/>
      <c r="F8778"/>
      <c r="G8778" s="20"/>
      <c r="H8778"/>
      <c r="I8778"/>
    </row>
    <row r="8779" spans="2:9" ht="15" x14ac:dyDescent="0.25">
      <c r="B8779"/>
      <c r="C8779"/>
      <c r="D8779"/>
      <c r="E8779"/>
      <c r="F8779"/>
      <c r="G8779" s="20"/>
      <c r="H8779"/>
      <c r="I8779"/>
    </row>
    <row r="8780" spans="2:9" ht="15" x14ac:dyDescent="0.25">
      <c r="B8780"/>
      <c r="C8780"/>
      <c r="D8780"/>
      <c r="E8780"/>
      <c r="F8780"/>
      <c r="G8780" s="20"/>
      <c r="H8780"/>
      <c r="I8780"/>
    </row>
    <row r="8781" spans="2:9" ht="15" x14ac:dyDescent="0.25">
      <c r="B8781"/>
      <c r="C8781"/>
      <c r="D8781"/>
      <c r="E8781"/>
      <c r="F8781"/>
      <c r="G8781" s="20"/>
      <c r="H8781"/>
      <c r="I8781"/>
    </row>
    <row r="8782" spans="2:9" ht="15" x14ac:dyDescent="0.25">
      <c r="B8782"/>
      <c r="C8782"/>
      <c r="D8782"/>
      <c r="E8782"/>
      <c r="F8782"/>
      <c r="G8782" s="20"/>
      <c r="H8782"/>
      <c r="I8782"/>
    </row>
    <row r="8783" spans="2:9" ht="15" x14ac:dyDescent="0.25">
      <c r="B8783"/>
      <c r="C8783"/>
      <c r="D8783"/>
      <c r="E8783"/>
      <c r="F8783"/>
      <c r="G8783" s="20"/>
      <c r="H8783"/>
      <c r="I8783"/>
    </row>
    <row r="8784" spans="2:9" ht="15" x14ac:dyDescent="0.25">
      <c r="B8784"/>
      <c r="C8784"/>
      <c r="D8784"/>
      <c r="E8784"/>
      <c r="F8784"/>
      <c r="G8784" s="20"/>
      <c r="H8784"/>
      <c r="I8784"/>
    </row>
    <row r="8785" spans="2:9" ht="15" x14ac:dyDescent="0.25">
      <c r="B8785"/>
      <c r="C8785"/>
      <c r="D8785"/>
      <c r="E8785"/>
      <c r="F8785"/>
      <c r="G8785" s="20"/>
      <c r="H8785"/>
      <c r="I8785"/>
    </row>
    <row r="8786" spans="2:9" ht="15" x14ac:dyDescent="0.25">
      <c r="B8786"/>
      <c r="C8786"/>
      <c r="D8786"/>
      <c r="E8786"/>
      <c r="F8786"/>
      <c r="G8786" s="20"/>
      <c r="H8786"/>
      <c r="I8786"/>
    </row>
    <row r="8787" spans="2:9" ht="15" x14ac:dyDescent="0.25">
      <c r="B8787"/>
      <c r="C8787"/>
      <c r="D8787"/>
      <c r="E8787"/>
      <c r="F8787"/>
      <c r="G8787" s="20"/>
      <c r="H8787"/>
      <c r="I8787"/>
    </row>
    <row r="8788" spans="2:9" ht="15" x14ac:dyDescent="0.25">
      <c r="B8788"/>
      <c r="C8788"/>
      <c r="D8788"/>
      <c r="E8788"/>
      <c r="F8788"/>
      <c r="G8788" s="20"/>
      <c r="H8788"/>
      <c r="I8788"/>
    </row>
    <row r="8789" spans="2:9" ht="15" x14ac:dyDescent="0.25">
      <c r="B8789"/>
      <c r="C8789"/>
      <c r="D8789"/>
      <c r="E8789"/>
      <c r="F8789"/>
      <c r="G8789" s="20"/>
      <c r="H8789"/>
      <c r="I8789"/>
    </row>
    <row r="8790" spans="2:9" ht="15" x14ac:dyDescent="0.25">
      <c r="B8790"/>
      <c r="C8790"/>
      <c r="D8790"/>
      <c r="E8790"/>
      <c r="F8790"/>
      <c r="G8790" s="20"/>
      <c r="H8790"/>
      <c r="I8790"/>
    </row>
    <row r="8791" spans="2:9" ht="15" x14ac:dyDescent="0.25">
      <c r="B8791"/>
      <c r="C8791"/>
      <c r="D8791"/>
      <c r="E8791"/>
      <c r="F8791"/>
      <c r="G8791" s="20"/>
      <c r="H8791"/>
      <c r="I8791"/>
    </row>
    <row r="8792" spans="2:9" ht="15" x14ac:dyDescent="0.25">
      <c r="B8792"/>
      <c r="C8792"/>
      <c r="D8792"/>
      <c r="E8792"/>
      <c r="F8792"/>
      <c r="G8792" s="20"/>
      <c r="H8792"/>
      <c r="I8792"/>
    </row>
    <row r="8793" spans="2:9" ht="15" x14ac:dyDescent="0.25">
      <c r="B8793"/>
      <c r="C8793"/>
      <c r="D8793"/>
      <c r="E8793"/>
      <c r="F8793"/>
      <c r="G8793" s="20"/>
      <c r="H8793"/>
      <c r="I8793"/>
    </row>
    <row r="8794" spans="2:9" ht="15" x14ac:dyDescent="0.25">
      <c r="B8794"/>
      <c r="C8794"/>
      <c r="D8794"/>
      <c r="E8794"/>
      <c r="F8794"/>
      <c r="G8794" s="20"/>
      <c r="H8794"/>
      <c r="I8794"/>
    </row>
    <row r="8795" spans="2:9" ht="15" x14ac:dyDescent="0.25">
      <c r="B8795"/>
      <c r="C8795"/>
      <c r="D8795"/>
      <c r="E8795"/>
      <c r="F8795"/>
      <c r="G8795" s="20"/>
      <c r="H8795"/>
      <c r="I8795"/>
    </row>
    <row r="8796" spans="2:9" ht="15" x14ac:dyDescent="0.25">
      <c r="B8796"/>
      <c r="C8796"/>
      <c r="D8796"/>
      <c r="E8796"/>
      <c r="F8796"/>
      <c r="G8796" s="20"/>
      <c r="H8796"/>
      <c r="I8796"/>
    </row>
    <row r="8797" spans="2:9" ht="15" x14ac:dyDescent="0.25">
      <c r="B8797"/>
      <c r="C8797"/>
      <c r="D8797"/>
      <c r="E8797"/>
      <c r="F8797"/>
      <c r="G8797" s="20"/>
      <c r="H8797"/>
      <c r="I8797"/>
    </row>
    <row r="8798" spans="2:9" ht="15" x14ac:dyDescent="0.25">
      <c r="B8798"/>
      <c r="C8798"/>
      <c r="D8798"/>
      <c r="E8798"/>
      <c r="F8798"/>
      <c r="G8798" s="20"/>
      <c r="H8798"/>
      <c r="I8798"/>
    </row>
    <row r="8799" spans="2:9" ht="15" x14ac:dyDescent="0.25">
      <c r="B8799"/>
      <c r="C8799"/>
      <c r="D8799"/>
      <c r="E8799"/>
      <c r="F8799"/>
      <c r="G8799" s="20"/>
      <c r="H8799"/>
      <c r="I8799"/>
    </row>
    <row r="8800" spans="2:9" ht="15" x14ac:dyDescent="0.25">
      <c r="B8800"/>
      <c r="C8800"/>
      <c r="D8800"/>
      <c r="E8800"/>
      <c r="F8800"/>
      <c r="G8800" s="20"/>
      <c r="H8800"/>
      <c r="I8800"/>
    </row>
    <row r="8801" spans="2:9" ht="15" x14ac:dyDescent="0.25">
      <c r="B8801"/>
      <c r="C8801"/>
      <c r="D8801"/>
      <c r="E8801"/>
      <c r="F8801"/>
      <c r="G8801" s="20"/>
      <c r="H8801"/>
      <c r="I8801"/>
    </row>
    <row r="8802" spans="2:9" ht="15" x14ac:dyDescent="0.25">
      <c r="B8802"/>
      <c r="C8802"/>
      <c r="D8802"/>
      <c r="E8802"/>
      <c r="F8802"/>
      <c r="G8802" s="20"/>
      <c r="H8802"/>
      <c r="I8802"/>
    </row>
    <row r="8803" spans="2:9" ht="15" x14ac:dyDescent="0.25">
      <c r="B8803"/>
      <c r="C8803"/>
      <c r="D8803"/>
      <c r="E8803"/>
      <c r="F8803"/>
      <c r="G8803" s="20"/>
      <c r="H8803"/>
      <c r="I8803"/>
    </row>
    <row r="8804" spans="2:9" ht="15" x14ac:dyDescent="0.25">
      <c r="B8804"/>
      <c r="C8804"/>
      <c r="D8804"/>
      <c r="E8804"/>
      <c r="F8804"/>
      <c r="G8804" s="20"/>
      <c r="H8804"/>
      <c r="I8804"/>
    </row>
    <row r="8805" spans="2:9" ht="15" x14ac:dyDescent="0.25">
      <c r="B8805"/>
      <c r="C8805"/>
      <c r="D8805"/>
      <c r="E8805"/>
      <c r="F8805"/>
      <c r="G8805" s="20"/>
      <c r="H8805"/>
      <c r="I8805"/>
    </row>
    <row r="8806" spans="2:9" ht="15" x14ac:dyDescent="0.25">
      <c r="B8806"/>
      <c r="C8806"/>
      <c r="D8806"/>
      <c r="E8806"/>
      <c r="F8806"/>
      <c r="G8806" s="20"/>
      <c r="H8806"/>
      <c r="I8806"/>
    </row>
    <row r="8807" spans="2:9" ht="15" x14ac:dyDescent="0.25">
      <c r="B8807"/>
      <c r="C8807"/>
      <c r="D8807"/>
      <c r="E8807"/>
      <c r="F8807"/>
      <c r="G8807" s="20"/>
      <c r="H8807"/>
      <c r="I8807"/>
    </row>
    <row r="8808" spans="2:9" ht="15" x14ac:dyDescent="0.25">
      <c r="B8808"/>
      <c r="C8808"/>
      <c r="D8808"/>
      <c r="E8808"/>
      <c r="F8808"/>
      <c r="G8808" s="20"/>
      <c r="H8808"/>
      <c r="I8808"/>
    </row>
    <row r="8809" spans="2:9" ht="15" x14ac:dyDescent="0.25">
      <c r="B8809"/>
      <c r="C8809"/>
      <c r="D8809"/>
      <c r="E8809"/>
      <c r="F8809"/>
      <c r="G8809" s="20"/>
      <c r="H8809"/>
      <c r="I8809"/>
    </row>
    <row r="8810" spans="2:9" ht="15" x14ac:dyDescent="0.25">
      <c r="B8810"/>
      <c r="C8810"/>
      <c r="D8810"/>
      <c r="E8810"/>
      <c r="F8810"/>
      <c r="G8810" s="20"/>
      <c r="H8810"/>
      <c r="I8810"/>
    </row>
    <row r="8811" spans="2:9" ht="15" x14ac:dyDescent="0.25">
      <c r="B8811"/>
      <c r="C8811"/>
      <c r="D8811"/>
      <c r="E8811"/>
      <c r="F8811"/>
      <c r="G8811" s="20"/>
      <c r="H8811"/>
      <c r="I8811"/>
    </row>
    <row r="8812" spans="2:9" ht="15" x14ac:dyDescent="0.25">
      <c r="B8812"/>
      <c r="C8812"/>
      <c r="D8812"/>
      <c r="E8812"/>
      <c r="F8812"/>
      <c r="G8812" s="20"/>
      <c r="H8812"/>
      <c r="I8812"/>
    </row>
    <row r="8813" spans="2:9" ht="15" x14ac:dyDescent="0.25">
      <c r="B8813"/>
      <c r="C8813"/>
      <c r="D8813"/>
      <c r="E8813"/>
      <c r="F8813"/>
      <c r="G8813" s="20"/>
      <c r="H8813"/>
      <c r="I8813"/>
    </row>
    <row r="8814" spans="2:9" ht="15" x14ac:dyDescent="0.25">
      <c r="B8814"/>
      <c r="C8814"/>
      <c r="D8814"/>
      <c r="E8814"/>
      <c r="F8814"/>
      <c r="G8814" s="20"/>
      <c r="H8814"/>
      <c r="I8814"/>
    </row>
    <row r="8815" spans="2:9" ht="15" x14ac:dyDescent="0.25">
      <c r="B8815"/>
      <c r="C8815"/>
      <c r="D8815"/>
      <c r="E8815"/>
      <c r="F8815"/>
      <c r="G8815" s="20"/>
      <c r="H8815"/>
      <c r="I8815"/>
    </row>
    <row r="8816" spans="2:9" ht="15" x14ac:dyDescent="0.25">
      <c r="B8816"/>
      <c r="C8816"/>
      <c r="D8816"/>
      <c r="E8816"/>
      <c r="F8816"/>
      <c r="G8816" s="20"/>
      <c r="H8816"/>
      <c r="I8816"/>
    </row>
    <row r="8817" spans="2:9" ht="15" x14ac:dyDescent="0.25">
      <c r="B8817"/>
      <c r="C8817"/>
      <c r="D8817"/>
      <c r="E8817"/>
      <c r="F8817"/>
      <c r="G8817" s="20"/>
      <c r="H8817"/>
      <c r="I8817"/>
    </row>
    <row r="8818" spans="2:9" ht="15" x14ac:dyDescent="0.25">
      <c r="B8818"/>
      <c r="C8818"/>
      <c r="D8818"/>
      <c r="E8818"/>
      <c r="F8818"/>
      <c r="G8818" s="20"/>
      <c r="H8818"/>
      <c r="I8818"/>
    </row>
    <row r="8819" spans="2:9" ht="15" x14ac:dyDescent="0.25">
      <c r="B8819"/>
      <c r="C8819"/>
      <c r="D8819"/>
      <c r="E8819"/>
      <c r="F8819"/>
      <c r="G8819" s="20"/>
      <c r="H8819"/>
      <c r="I8819"/>
    </row>
    <row r="8820" spans="2:9" ht="15" x14ac:dyDescent="0.25">
      <c r="B8820"/>
      <c r="C8820"/>
      <c r="D8820"/>
      <c r="E8820"/>
      <c r="F8820"/>
      <c r="G8820" s="20"/>
      <c r="H8820"/>
      <c r="I8820"/>
    </row>
    <row r="8821" spans="2:9" ht="15" x14ac:dyDescent="0.25">
      <c r="B8821"/>
      <c r="C8821"/>
      <c r="D8821"/>
      <c r="E8821"/>
      <c r="F8821"/>
      <c r="G8821" s="20"/>
      <c r="H8821"/>
      <c r="I8821"/>
    </row>
    <row r="8822" spans="2:9" ht="15" x14ac:dyDescent="0.25">
      <c r="B8822"/>
      <c r="C8822"/>
      <c r="D8822"/>
      <c r="E8822"/>
      <c r="F8822"/>
      <c r="G8822" s="20"/>
      <c r="H8822"/>
      <c r="I8822"/>
    </row>
    <row r="8823" spans="2:9" ht="15" x14ac:dyDescent="0.25">
      <c r="B8823"/>
      <c r="C8823"/>
      <c r="D8823"/>
      <c r="E8823"/>
      <c r="F8823"/>
      <c r="G8823" s="20"/>
      <c r="H8823"/>
      <c r="I8823"/>
    </row>
    <row r="8824" spans="2:9" ht="15" x14ac:dyDescent="0.25">
      <c r="B8824"/>
      <c r="C8824"/>
      <c r="D8824"/>
      <c r="E8824"/>
      <c r="F8824"/>
      <c r="G8824" s="20"/>
      <c r="H8824"/>
      <c r="I8824"/>
    </row>
    <row r="8825" spans="2:9" ht="15" x14ac:dyDescent="0.25">
      <c r="B8825"/>
      <c r="C8825"/>
      <c r="D8825"/>
      <c r="E8825"/>
      <c r="F8825"/>
      <c r="G8825" s="20"/>
      <c r="H8825"/>
      <c r="I8825"/>
    </row>
    <row r="8826" spans="2:9" ht="15" x14ac:dyDescent="0.25">
      <c r="B8826"/>
      <c r="C8826"/>
      <c r="D8826"/>
      <c r="E8826"/>
      <c r="F8826"/>
      <c r="G8826" s="20"/>
      <c r="H8826"/>
      <c r="I8826"/>
    </row>
    <row r="8827" spans="2:9" ht="15" x14ac:dyDescent="0.25">
      <c r="B8827"/>
      <c r="C8827"/>
      <c r="D8827"/>
      <c r="E8827"/>
      <c r="F8827"/>
      <c r="G8827" s="20"/>
      <c r="H8827"/>
      <c r="I8827"/>
    </row>
    <row r="8828" spans="2:9" ht="15" x14ac:dyDescent="0.25">
      <c r="B8828"/>
      <c r="C8828"/>
      <c r="D8828"/>
      <c r="E8828"/>
      <c r="F8828"/>
      <c r="G8828" s="20"/>
      <c r="H8828"/>
      <c r="I8828"/>
    </row>
    <row r="8829" spans="2:9" ht="15" x14ac:dyDescent="0.25">
      <c r="B8829"/>
      <c r="C8829"/>
      <c r="D8829"/>
      <c r="E8829"/>
      <c r="F8829"/>
      <c r="G8829" s="20"/>
      <c r="H8829"/>
      <c r="I8829"/>
    </row>
    <row r="8830" spans="2:9" ht="15" x14ac:dyDescent="0.25">
      <c r="B8830"/>
      <c r="C8830"/>
      <c r="D8830"/>
      <c r="E8830"/>
      <c r="F8830"/>
      <c r="G8830" s="20"/>
      <c r="H8830"/>
      <c r="I8830"/>
    </row>
    <row r="8831" spans="2:9" ht="15" x14ac:dyDescent="0.25">
      <c r="B8831"/>
      <c r="C8831"/>
      <c r="D8831"/>
      <c r="E8831"/>
      <c r="F8831"/>
      <c r="G8831" s="20"/>
      <c r="H8831"/>
      <c r="I8831"/>
    </row>
    <row r="8832" spans="2:9" ht="15" x14ac:dyDescent="0.25">
      <c r="B8832"/>
      <c r="C8832"/>
      <c r="D8832"/>
      <c r="E8832"/>
      <c r="F8832"/>
      <c r="G8832" s="20"/>
      <c r="H8832"/>
      <c r="I8832"/>
    </row>
    <row r="8833" spans="2:9" ht="15" x14ac:dyDescent="0.25">
      <c r="B8833"/>
      <c r="C8833"/>
      <c r="D8833"/>
      <c r="E8833"/>
      <c r="F8833"/>
      <c r="G8833" s="20"/>
      <c r="H8833"/>
      <c r="I8833"/>
    </row>
    <row r="8834" spans="2:9" ht="15" x14ac:dyDescent="0.25">
      <c r="B8834"/>
      <c r="C8834"/>
      <c r="D8834"/>
      <c r="E8834"/>
      <c r="F8834"/>
      <c r="G8834" s="20"/>
      <c r="H8834"/>
      <c r="I8834"/>
    </row>
    <row r="8835" spans="2:9" ht="15" x14ac:dyDescent="0.25">
      <c r="B8835"/>
      <c r="C8835"/>
      <c r="D8835"/>
      <c r="E8835"/>
      <c r="F8835"/>
      <c r="G8835" s="20"/>
      <c r="H8835"/>
      <c r="I8835"/>
    </row>
    <row r="8836" spans="2:9" ht="15" x14ac:dyDescent="0.25">
      <c r="B8836"/>
      <c r="C8836"/>
      <c r="D8836"/>
      <c r="E8836"/>
      <c r="F8836"/>
      <c r="G8836" s="20"/>
      <c r="H8836"/>
      <c r="I8836"/>
    </row>
    <row r="8837" spans="2:9" ht="15" x14ac:dyDescent="0.25">
      <c r="B8837"/>
      <c r="C8837"/>
      <c r="D8837"/>
      <c r="E8837"/>
      <c r="F8837"/>
      <c r="G8837" s="20"/>
      <c r="H8837"/>
      <c r="I8837"/>
    </row>
    <row r="8838" spans="2:9" ht="15" x14ac:dyDescent="0.25">
      <c r="B8838"/>
      <c r="C8838"/>
      <c r="D8838"/>
      <c r="E8838"/>
      <c r="F8838"/>
      <c r="G8838" s="20"/>
      <c r="H8838"/>
      <c r="I8838"/>
    </row>
    <row r="8839" spans="2:9" ht="15" x14ac:dyDescent="0.25">
      <c r="B8839"/>
      <c r="C8839"/>
      <c r="D8839"/>
      <c r="E8839"/>
      <c r="F8839"/>
      <c r="G8839" s="20"/>
      <c r="H8839"/>
      <c r="I8839"/>
    </row>
    <row r="8840" spans="2:9" ht="15" x14ac:dyDescent="0.25">
      <c r="B8840"/>
      <c r="C8840"/>
      <c r="D8840"/>
      <c r="E8840"/>
      <c r="F8840"/>
      <c r="G8840" s="20"/>
      <c r="H8840"/>
      <c r="I8840"/>
    </row>
    <row r="8841" spans="2:9" ht="15" x14ac:dyDescent="0.25">
      <c r="B8841"/>
      <c r="C8841"/>
      <c r="D8841"/>
      <c r="E8841"/>
      <c r="F8841"/>
      <c r="G8841" s="20"/>
      <c r="H8841"/>
      <c r="I8841"/>
    </row>
    <row r="8842" spans="2:9" ht="15" x14ac:dyDescent="0.25">
      <c r="B8842"/>
      <c r="C8842"/>
      <c r="D8842"/>
      <c r="E8842"/>
      <c r="F8842"/>
      <c r="G8842" s="20"/>
      <c r="H8842"/>
      <c r="I8842"/>
    </row>
    <row r="8843" spans="2:9" ht="15" x14ac:dyDescent="0.25">
      <c r="B8843"/>
      <c r="C8843"/>
      <c r="D8843"/>
      <c r="E8843"/>
      <c r="F8843"/>
      <c r="G8843" s="20"/>
      <c r="H8843"/>
      <c r="I8843"/>
    </row>
    <row r="8844" spans="2:9" ht="15" x14ac:dyDescent="0.25">
      <c r="B8844"/>
      <c r="C8844"/>
      <c r="D8844"/>
      <c r="E8844"/>
      <c r="F8844"/>
      <c r="G8844" s="20"/>
      <c r="H8844"/>
      <c r="I8844"/>
    </row>
    <row r="8845" spans="2:9" ht="15" x14ac:dyDescent="0.25">
      <c r="B8845"/>
      <c r="C8845"/>
      <c r="D8845"/>
      <c r="E8845"/>
      <c r="F8845"/>
      <c r="G8845" s="20"/>
      <c r="H8845"/>
      <c r="I8845"/>
    </row>
    <row r="8846" spans="2:9" ht="15" x14ac:dyDescent="0.25">
      <c r="B8846"/>
      <c r="C8846"/>
      <c r="D8846"/>
      <c r="E8846"/>
      <c r="F8846"/>
      <c r="G8846" s="20"/>
      <c r="H8846"/>
      <c r="I8846"/>
    </row>
    <row r="8847" spans="2:9" ht="15" x14ac:dyDescent="0.25">
      <c r="B8847"/>
      <c r="C8847"/>
      <c r="D8847"/>
      <c r="E8847"/>
      <c r="F8847"/>
      <c r="G8847" s="20"/>
      <c r="H8847"/>
      <c r="I8847"/>
    </row>
    <row r="8848" spans="2:9" ht="15" x14ac:dyDescent="0.25">
      <c r="B8848"/>
      <c r="C8848"/>
      <c r="D8848"/>
      <c r="E8848"/>
      <c r="F8848"/>
      <c r="G8848" s="20"/>
      <c r="H8848"/>
      <c r="I8848"/>
    </row>
    <row r="8849" spans="2:9" ht="15" x14ac:dyDescent="0.25">
      <c r="B8849"/>
      <c r="C8849"/>
      <c r="D8849"/>
      <c r="E8849"/>
      <c r="F8849"/>
      <c r="G8849" s="20"/>
      <c r="H8849"/>
      <c r="I8849"/>
    </row>
    <row r="8850" spans="2:9" ht="15" x14ac:dyDescent="0.25">
      <c r="B8850"/>
      <c r="C8850"/>
      <c r="D8850"/>
      <c r="E8850"/>
      <c r="F8850"/>
      <c r="G8850" s="20"/>
      <c r="H8850"/>
      <c r="I8850"/>
    </row>
    <row r="8851" spans="2:9" ht="15" x14ac:dyDescent="0.25">
      <c r="B8851"/>
      <c r="C8851"/>
      <c r="D8851"/>
      <c r="E8851"/>
      <c r="F8851"/>
      <c r="G8851" s="20"/>
      <c r="H8851"/>
      <c r="I8851"/>
    </row>
    <row r="8852" spans="2:9" ht="15" x14ac:dyDescent="0.25">
      <c r="B8852"/>
      <c r="C8852"/>
      <c r="D8852"/>
      <c r="E8852"/>
      <c r="F8852"/>
      <c r="G8852" s="20"/>
      <c r="H8852"/>
      <c r="I8852"/>
    </row>
    <row r="8853" spans="2:9" ht="15" x14ac:dyDescent="0.25">
      <c r="B8853"/>
      <c r="C8853"/>
      <c r="D8853"/>
      <c r="E8853"/>
      <c r="F8853"/>
      <c r="G8853" s="20"/>
      <c r="H8853"/>
      <c r="I8853"/>
    </row>
    <row r="8854" spans="2:9" ht="15" x14ac:dyDescent="0.25">
      <c r="B8854"/>
      <c r="C8854"/>
      <c r="D8854"/>
      <c r="E8854"/>
      <c r="F8854"/>
      <c r="G8854" s="20"/>
      <c r="H8854"/>
      <c r="I8854"/>
    </row>
    <row r="8855" spans="2:9" ht="15" x14ac:dyDescent="0.25">
      <c r="B8855"/>
      <c r="C8855"/>
      <c r="D8855"/>
      <c r="E8855"/>
      <c r="F8855"/>
      <c r="G8855" s="20"/>
      <c r="H8855"/>
      <c r="I8855"/>
    </row>
    <row r="8856" spans="2:9" ht="15" x14ac:dyDescent="0.25">
      <c r="B8856"/>
      <c r="C8856"/>
      <c r="D8856"/>
      <c r="E8856"/>
      <c r="F8856"/>
      <c r="G8856" s="20"/>
      <c r="H8856"/>
      <c r="I8856"/>
    </row>
    <row r="8857" spans="2:9" ht="15" x14ac:dyDescent="0.25">
      <c r="B8857"/>
      <c r="C8857"/>
      <c r="D8857"/>
      <c r="E8857"/>
      <c r="F8857"/>
      <c r="G8857" s="20"/>
      <c r="H8857"/>
      <c r="I8857"/>
    </row>
    <row r="8858" spans="2:9" ht="15" x14ac:dyDescent="0.25">
      <c r="B8858"/>
      <c r="C8858"/>
      <c r="D8858"/>
      <c r="E8858"/>
      <c r="F8858"/>
      <c r="G8858" s="20"/>
      <c r="H8858"/>
      <c r="I8858"/>
    </row>
    <row r="8859" spans="2:9" ht="15" x14ac:dyDescent="0.25">
      <c r="B8859"/>
      <c r="C8859"/>
      <c r="D8859"/>
      <c r="E8859"/>
      <c r="F8859"/>
      <c r="G8859" s="20"/>
      <c r="H8859"/>
      <c r="I8859"/>
    </row>
    <row r="8860" spans="2:9" ht="15" x14ac:dyDescent="0.25">
      <c r="B8860"/>
      <c r="C8860"/>
      <c r="D8860"/>
      <c r="E8860"/>
      <c r="F8860"/>
      <c r="G8860" s="20"/>
      <c r="H8860"/>
      <c r="I8860"/>
    </row>
    <row r="8861" spans="2:9" ht="15" x14ac:dyDescent="0.25">
      <c r="B8861"/>
      <c r="C8861"/>
      <c r="D8861"/>
      <c r="E8861"/>
      <c r="F8861"/>
      <c r="G8861" s="20"/>
      <c r="H8861"/>
      <c r="I8861"/>
    </row>
    <row r="8862" spans="2:9" ht="15" x14ac:dyDescent="0.25">
      <c r="B8862"/>
      <c r="C8862"/>
      <c r="D8862"/>
      <c r="E8862"/>
      <c r="F8862"/>
      <c r="G8862" s="20"/>
      <c r="H8862"/>
      <c r="I8862"/>
    </row>
    <row r="8863" spans="2:9" ht="15" x14ac:dyDescent="0.25">
      <c r="B8863"/>
      <c r="C8863"/>
      <c r="D8863"/>
      <c r="E8863"/>
      <c r="F8863"/>
      <c r="G8863" s="20"/>
      <c r="H8863"/>
      <c r="I8863"/>
    </row>
    <row r="8864" spans="2:9" ht="15" x14ac:dyDescent="0.25">
      <c r="B8864"/>
      <c r="C8864"/>
      <c r="D8864"/>
      <c r="E8864"/>
      <c r="F8864"/>
      <c r="G8864" s="20"/>
      <c r="H8864"/>
      <c r="I8864"/>
    </row>
    <row r="8865" spans="2:9" ht="15" x14ac:dyDescent="0.25">
      <c r="B8865"/>
      <c r="C8865"/>
      <c r="D8865"/>
      <c r="E8865"/>
      <c r="F8865"/>
      <c r="G8865" s="20"/>
      <c r="H8865"/>
      <c r="I8865"/>
    </row>
    <row r="8866" spans="2:9" ht="15" x14ac:dyDescent="0.25">
      <c r="B8866"/>
      <c r="C8866"/>
      <c r="D8866"/>
      <c r="E8866"/>
      <c r="F8866"/>
      <c r="G8866" s="20"/>
      <c r="H8866"/>
      <c r="I8866"/>
    </row>
    <row r="8867" spans="2:9" ht="15" x14ac:dyDescent="0.25">
      <c r="B8867"/>
      <c r="C8867"/>
      <c r="D8867"/>
      <c r="E8867"/>
      <c r="F8867"/>
      <c r="G8867" s="20"/>
      <c r="H8867"/>
      <c r="I8867"/>
    </row>
    <row r="8868" spans="2:9" ht="15" x14ac:dyDescent="0.25">
      <c r="B8868"/>
      <c r="C8868"/>
      <c r="D8868"/>
      <c r="E8868"/>
      <c r="F8868"/>
      <c r="G8868" s="20"/>
      <c r="H8868"/>
      <c r="I8868"/>
    </row>
    <row r="8869" spans="2:9" ht="15" x14ac:dyDescent="0.25">
      <c r="B8869"/>
      <c r="C8869"/>
      <c r="D8869"/>
      <c r="E8869"/>
      <c r="F8869"/>
      <c r="G8869" s="20"/>
      <c r="H8869"/>
      <c r="I8869"/>
    </row>
    <row r="8870" spans="2:9" ht="15" x14ac:dyDescent="0.25">
      <c r="B8870"/>
      <c r="C8870"/>
      <c r="D8870"/>
      <c r="E8870"/>
      <c r="F8870"/>
      <c r="G8870" s="20"/>
      <c r="H8870"/>
      <c r="I8870"/>
    </row>
    <row r="8871" spans="2:9" ht="15" x14ac:dyDescent="0.25">
      <c r="B8871"/>
      <c r="C8871"/>
      <c r="D8871"/>
      <c r="E8871"/>
      <c r="F8871"/>
      <c r="G8871" s="20"/>
      <c r="H8871"/>
      <c r="I8871"/>
    </row>
    <row r="8872" spans="2:9" ht="15" x14ac:dyDescent="0.25">
      <c r="B8872"/>
      <c r="C8872"/>
      <c r="D8872"/>
      <c r="E8872"/>
      <c r="F8872"/>
      <c r="G8872" s="20"/>
      <c r="H8872"/>
      <c r="I8872"/>
    </row>
    <row r="8873" spans="2:9" ht="15" x14ac:dyDescent="0.25">
      <c r="B8873"/>
      <c r="C8873"/>
      <c r="D8873"/>
      <c r="E8873"/>
      <c r="F8873"/>
      <c r="G8873" s="20"/>
      <c r="H8873"/>
      <c r="I8873"/>
    </row>
    <row r="8874" spans="2:9" ht="15" x14ac:dyDescent="0.25">
      <c r="B8874"/>
      <c r="C8874"/>
      <c r="D8874"/>
      <c r="E8874"/>
      <c r="F8874"/>
      <c r="G8874" s="20"/>
      <c r="H8874"/>
      <c r="I8874"/>
    </row>
    <row r="8875" spans="2:9" ht="15" x14ac:dyDescent="0.25">
      <c r="B8875"/>
      <c r="C8875"/>
      <c r="D8875"/>
      <c r="E8875"/>
      <c r="F8875"/>
      <c r="G8875" s="20"/>
      <c r="H8875"/>
      <c r="I8875"/>
    </row>
    <row r="8876" spans="2:9" ht="15" x14ac:dyDescent="0.25">
      <c r="B8876"/>
      <c r="C8876"/>
      <c r="D8876"/>
      <c r="E8876"/>
      <c r="F8876"/>
      <c r="G8876" s="20"/>
      <c r="H8876"/>
      <c r="I8876"/>
    </row>
    <row r="8877" spans="2:9" ht="15" x14ac:dyDescent="0.25">
      <c r="B8877"/>
      <c r="C8877"/>
      <c r="D8877"/>
      <c r="E8877"/>
      <c r="F8877"/>
      <c r="G8877" s="20"/>
      <c r="H8877"/>
      <c r="I8877"/>
    </row>
    <row r="8878" spans="2:9" ht="15" x14ac:dyDescent="0.25">
      <c r="B8878"/>
      <c r="C8878"/>
      <c r="D8878"/>
      <c r="E8878"/>
      <c r="F8878"/>
      <c r="G8878" s="20"/>
      <c r="H8878"/>
      <c r="I8878"/>
    </row>
    <row r="8879" spans="2:9" ht="15" x14ac:dyDescent="0.25">
      <c r="B8879"/>
      <c r="C8879"/>
      <c r="D8879"/>
      <c r="E8879"/>
      <c r="F8879"/>
      <c r="G8879" s="20"/>
      <c r="H8879"/>
      <c r="I8879"/>
    </row>
    <row r="8880" spans="2:9" ht="15" x14ac:dyDescent="0.25">
      <c r="B8880"/>
      <c r="C8880"/>
      <c r="D8880"/>
      <c r="E8880"/>
      <c r="F8880"/>
      <c r="G8880" s="20"/>
      <c r="H8880"/>
      <c r="I8880"/>
    </row>
    <row r="8881" spans="2:9" ht="15" x14ac:dyDescent="0.25">
      <c r="B8881"/>
      <c r="C8881"/>
      <c r="D8881"/>
      <c r="E8881"/>
      <c r="F8881"/>
      <c r="G8881" s="20"/>
      <c r="H8881"/>
      <c r="I8881"/>
    </row>
    <row r="8882" spans="2:9" ht="15" x14ac:dyDescent="0.25">
      <c r="B8882"/>
      <c r="C8882"/>
      <c r="D8882"/>
      <c r="E8882"/>
      <c r="F8882"/>
      <c r="G8882" s="20"/>
      <c r="H8882"/>
      <c r="I8882"/>
    </row>
    <row r="8883" spans="2:9" ht="15" x14ac:dyDescent="0.25">
      <c r="B8883"/>
      <c r="C8883"/>
      <c r="D8883"/>
      <c r="E8883"/>
      <c r="F8883"/>
      <c r="G8883" s="20"/>
      <c r="H8883"/>
      <c r="I8883"/>
    </row>
    <row r="8884" spans="2:9" ht="15" x14ac:dyDescent="0.25">
      <c r="B8884"/>
      <c r="C8884"/>
      <c r="D8884"/>
      <c r="E8884"/>
      <c r="F8884"/>
      <c r="G8884" s="20"/>
      <c r="H8884"/>
      <c r="I8884"/>
    </row>
    <row r="8885" spans="2:9" ht="15" x14ac:dyDescent="0.25">
      <c r="B8885"/>
      <c r="C8885"/>
      <c r="D8885"/>
      <c r="E8885"/>
      <c r="F8885"/>
      <c r="G8885" s="20"/>
      <c r="H8885"/>
      <c r="I8885"/>
    </row>
    <row r="8886" spans="2:9" ht="15" x14ac:dyDescent="0.25">
      <c r="B8886"/>
      <c r="C8886"/>
      <c r="D8886"/>
      <c r="E8886"/>
      <c r="F8886"/>
      <c r="G8886" s="20"/>
      <c r="H8886"/>
      <c r="I8886"/>
    </row>
    <row r="8887" spans="2:9" ht="15" x14ac:dyDescent="0.25">
      <c r="B8887"/>
      <c r="C8887"/>
      <c r="D8887"/>
      <c r="E8887"/>
      <c r="F8887"/>
      <c r="G8887" s="20"/>
      <c r="H8887"/>
      <c r="I8887"/>
    </row>
    <row r="8888" spans="2:9" ht="15" x14ac:dyDescent="0.25">
      <c r="B8888"/>
      <c r="C8888"/>
      <c r="D8888"/>
      <c r="E8888"/>
      <c r="F8888"/>
      <c r="G8888" s="20"/>
      <c r="H8888"/>
      <c r="I8888"/>
    </row>
    <row r="8889" spans="2:9" ht="15" x14ac:dyDescent="0.25">
      <c r="B8889"/>
      <c r="C8889"/>
      <c r="D8889"/>
      <c r="E8889"/>
      <c r="F8889"/>
      <c r="G8889" s="20"/>
      <c r="H8889"/>
      <c r="I8889"/>
    </row>
    <row r="8890" spans="2:9" ht="15" x14ac:dyDescent="0.25">
      <c r="B8890"/>
      <c r="C8890"/>
      <c r="D8890"/>
      <c r="E8890"/>
      <c r="F8890"/>
      <c r="G8890" s="20"/>
      <c r="H8890"/>
      <c r="I8890"/>
    </row>
    <row r="8891" spans="2:9" ht="15" x14ac:dyDescent="0.25">
      <c r="B8891"/>
      <c r="C8891"/>
      <c r="D8891"/>
      <c r="E8891"/>
      <c r="F8891"/>
      <c r="G8891" s="20"/>
      <c r="H8891"/>
      <c r="I8891"/>
    </row>
    <row r="8892" spans="2:9" ht="15" x14ac:dyDescent="0.25">
      <c r="B8892"/>
      <c r="C8892"/>
      <c r="D8892"/>
      <c r="E8892"/>
      <c r="F8892"/>
      <c r="G8892" s="20"/>
      <c r="H8892"/>
      <c r="I8892"/>
    </row>
    <row r="8893" spans="2:9" ht="15" x14ac:dyDescent="0.25">
      <c r="B8893"/>
      <c r="C8893"/>
      <c r="D8893"/>
      <c r="E8893"/>
      <c r="F8893"/>
      <c r="G8893" s="20"/>
      <c r="H8893"/>
      <c r="I8893"/>
    </row>
    <row r="8894" spans="2:9" ht="15" x14ac:dyDescent="0.25">
      <c r="B8894"/>
      <c r="C8894"/>
      <c r="D8894"/>
      <c r="E8894"/>
      <c r="F8894"/>
      <c r="G8894" s="20"/>
      <c r="H8894"/>
      <c r="I8894"/>
    </row>
    <row r="8895" spans="2:9" ht="15" x14ac:dyDescent="0.25">
      <c r="B8895"/>
      <c r="C8895"/>
      <c r="D8895"/>
      <c r="E8895"/>
      <c r="F8895"/>
      <c r="G8895" s="20"/>
      <c r="H8895"/>
      <c r="I8895"/>
    </row>
    <row r="8896" spans="2:9" ht="15" x14ac:dyDescent="0.25">
      <c r="B8896"/>
      <c r="C8896"/>
      <c r="D8896"/>
      <c r="E8896"/>
      <c r="F8896"/>
      <c r="G8896" s="20"/>
      <c r="H8896"/>
      <c r="I8896"/>
    </row>
    <row r="8897" spans="2:9" ht="15" x14ac:dyDescent="0.25">
      <c r="B8897"/>
      <c r="C8897"/>
      <c r="D8897"/>
      <c r="E8897"/>
      <c r="F8897"/>
      <c r="G8897" s="20"/>
      <c r="H8897"/>
      <c r="I8897"/>
    </row>
    <row r="8898" spans="2:9" ht="15" x14ac:dyDescent="0.25">
      <c r="B8898"/>
      <c r="C8898"/>
      <c r="D8898"/>
      <c r="E8898"/>
      <c r="F8898"/>
      <c r="G8898" s="20"/>
      <c r="H8898"/>
      <c r="I8898"/>
    </row>
    <row r="8899" spans="2:9" ht="15" x14ac:dyDescent="0.25">
      <c r="B8899"/>
      <c r="C8899"/>
      <c r="D8899"/>
      <c r="E8899"/>
      <c r="F8899"/>
      <c r="G8899" s="20"/>
      <c r="H8899"/>
      <c r="I8899"/>
    </row>
    <row r="8900" spans="2:9" ht="15" x14ac:dyDescent="0.25">
      <c r="B8900"/>
      <c r="C8900"/>
      <c r="D8900"/>
      <c r="E8900"/>
      <c r="F8900"/>
      <c r="G8900" s="20"/>
      <c r="H8900"/>
      <c r="I8900"/>
    </row>
    <row r="8901" spans="2:9" ht="15" x14ac:dyDescent="0.25">
      <c r="B8901"/>
      <c r="C8901"/>
      <c r="D8901"/>
      <c r="E8901"/>
      <c r="F8901"/>
      <c r="G8901" s="20"/>
      <c r="H8901"/>
      <c r="I8901"/>
    </row>
    <row r="8902" spans="2:9" ht="15" x14ac:dyDescent="0.25">
      <c r="B8902"/>
      <c r="C8902"/>
      <c r="D8902"/>
      <c r="E8902"/>
      <c r="F8902"/>
      <c r="G8902" s="20"/>
      <c r="H8902"/>
      <c r="I8902"/>
    </row>
    <row r="8903" spans="2:9" ht="15" x14ac:dyDescent="0.25">
      <c r="B8903"/>
      <c r="C8903"/>
      <c r="D8903"/>
      <c r="E8903"/>
      <c r="F8903"/>
      <c r="G8903" s="20"/>
      <c r="H8903"/>
      <c r="I8903"/>
    </row>
    <row r="8904" spans="2:9" ht="15" x14ac:dyDescent="0.25">
      <c r="B8904"/>
      <c r="C8904"/>
      <c r="D8904"/>
      <c r="E8904"/>
      <c r="F8904"/>
      <c r="G8904" s="20"/>
      <c r="H8904"/>
      <c r="I8904"/>
    </row>
    <row r="8905" spans="2:9" ht="15" x14ac:dyDescent="0.25">
      <c r="B8905"/>
      <c r="C8905"/>
      <c r="D8905"/>
      <c r="E8905"/>
      <c r="F8905"/>
      <c r="G8905" s="20"/>
      <c r="H8905"/>
      <c r="I8905"/>
    </row>
    <row r="8906" spans="2:9" ht="15" x14ac:dyDescent="0.25">
      <c r="B8906"/>
      <c r="C8906"/>
      <c r="D8906"/>
      <c r="E8906"/>
      <c r="F8906"/>
      <c r="G8906" s="20"/>
      <c r="H8906"/>
      <c r="I8906"/>
    </row>
    <row r="8907" spans="2:9" ht="15" x14ac:dyDescent="0.25">
      <c r="B8907"/>
      <c r="C8907"/>
      <c r="D8907"/>
      <c r="E8907"/>
      <c r="F8907"/>
      <c r="G8907" s="20"/>
      <c r="H8907"/>
      <c r="I8907"/>
    </row>
    <row r="8908" spans="2:9" ht="15" x14ac:dyDescent="0.25">
      <c r="B8908"/>
      <c r="C8908"/>
      <c r="D8908"/>
      <c r="E8908"/>
      <c r="F8908"/>
      <c r="G8908" s="20"/>
      <c r="H8908"/>
      <c r="I8908"/>
    </row>
    <row r="8909" spans="2:9" ht="15" x14ac:dyDescent="0.25">
      <c r="B8909"/>
      <c r="C8909"/>
      <c r="D8909"/>
      <c r="E8909"/>
      <c r="F8909"/>
      <c r="G8909" s="20"/>
      <c r="H8909"/>
      <c r="I8909"/>
    </row>
    <row r="8910" spans="2:9" ht="15" x14ac:dyDescent="0.25">
      <c r="B8910"/>
      <c r="C8910"/>
      <c r="D8910"/>
      <c r="E8910"/>
      <c r="F8910"/>
      <c r="G8910" s="20"/>
      <c r="H8910"/>
      <c r="I8910"/>
    </row>
    <row r="8911" spans="2:9" ht="15" x14ac:dyDescent="0.25">
      <c r="B8911"/>
      <c r="C8911"/>
      <c r="D8911"/>
      <c r="E8911"/>
      <c r="F8911"/>
      <c r="G8911" s="20"/>
      <c r="H8911"/>
      <c r="I8911"/>
    </row>
    <row r="8912" spans="2:9" ht="15" x14ac:dyDescent="0.25">
      <c r="B8912"/>
      <c r="C8912"/>
      <c r="D8912"/>
      <c r="E8912"/>
      <c r="F8912"/>
      <c r="G8912" s="20"/>
      <c r="H8912"/>
      <c r="I8912"/>
    </row>
    <row r="8913" spans="2:9" ht="15" x14ac:dyDescent="0.25">
      <c r="B8913"/>
      <c r="C8913"/>
      <c r="D8913"/>
      <c r="E8913"/>
      <c r="F8913"/>
      <c r="G8913" s="20"/>
      <c r="H8913"/>
      <c r="I8913"/>
    </row>
    <row r="8914" spans="2:9" ht="15" x14ac:dyDescent="0.25">
      <c r="B8914"/>
      <c r="C8914"/>
      <c r="D8914"/>
      <c r="E8914"/>
      <c r="F8914"/>
      <c r="G8914" s="20"/>
      <c r="H8914"/>
      <c r="I8914"/>
    </row>
    <row r="8915" spans="2:9" ht="15" x14ac:dyDescent="0.25">
      <c r="B8915"/>
      <c r="C8915"/>
      <c r="D8915"/>
      <c r="E8915"/>
      <c r="F8915"/>
      <c r="G8915" s="20"/>
      <c r="H8915"/>
      <c r="I8915"/>
    </row>
    <row r="8916" spans="2:9" ht="15" x14ac:dyDescent="0.25">
      <c r="B8916"/>
      <c r="C8916"/>
      <c r="D8916"/>
      <c r="E8916"/>
      <c r="F8916"/>
      <c r="G8916" s="20"/>
      <c r="H8916"/>
      <c r="I8916"/>
    </row>
    <row r="8917" spans="2:9" ht="15" x14ac:dyDescent="0.25">
      <c r="B8917"/>
      <c r="C8917"/>
      <c r="D8917"/>
      <c r="E8917"/>
      <c r="F8917"/>
      <c r="G8917" s="20"/>
      <c r="H8917"/>
      <c r="I8917"/>
    </row>
    <row r="8918" spans="2:9" ht="15" x14ac:dyDescent="0.25">
      <c r="B8918"/>
      <c r="C8918"/>
      <c r="D8918"/>
      <c r="E8918"/>
      <c r="F8918"/>
      <c r="G8918" s="20"/>
      <c r="H8918"/>
      <c r="I8918"/>
    </row>
    <row r="8919" spans="2:9" ht="15" x14ac:dyDescent="0.25">
      <c r="B8919"/>
      <c r="C8919"/>
      <c r="D8919"/>
      <c r="E8919"/>
      <c r="F8919"/>
      <c r="G8919" s="20"/>
      <c r="H8919"/>
      <c r="I8919"/>
    </row>
    <row r="8920" spans="2:9" ht="15" x14ac:dyDescent="0.25">
      <c r="B8920"/>
      <c r="C8920"/>
      <c r="D8920"/>
      <c r="E8920"/>
      <c r="F8920"/>
      <c r="G8920" s="20"/>
      <c r="H8920"/>
      <c r="I8920"/>
    </row>
    <row r="8921" spans="2:9" ht="15" x14ac:dyDescent="0.25">
      <c r="B8921"/>
      <c r="C8921"/>
      <c r="D8921"/>
      <c r="E8921"/>
      <c r="F8921"/>
      <c r="G8921" s="20"/>
      <c r="H8921"/>
      <c r="I8921"/>
    </row>
    <row r="8922" spans="2:9" ht="15" x14ac:dyDescent="0.25">
      <c r="B8922"/>
      <c r="C8922"/>
      <c r="D8922"/>
      <c r="E8922"/>
      <c r="F8922"/>
      <c r="G8922" s="20"/>
      <c r="H8922"/>
      <c r="I8922"/>
    </row>
    <row r="8923" spans="2:9" ht="15" x14ac:dyDescent="0.25">
      <c r="B8923"/>
      <c r="C8923"/>
      <c r="D8923"/>
      <c r="E8923"/>
      <c r="F8923"/>
      <c r="G8923" s="20"/>
      <c r="H8923"/>
      <c r="I8923"/>
    </row>
    <row r="8924" spans="2:9" ht="15" x14ac:dyDescent="0.25">
      <c r="B8924"/>
      <c r="C8924"/>
      <c r="D8924"/>
      <c r="E8924"/>
      <c r="F8924"/>
      <c r="G8924" s="20"/>
      <c r="H8924"/>
      <c r="I8924"/>
    </row>
    <row r="8925" spans="2:9" ht="15" x14ac:dyDescent="0.25">
      <c r="B8925"/>
      <c r="C8925"/>
      <c r="D8925"/>
      <c r="E8925"/>
      <c r="F8925"/>
      <c r="G8925" s="20"/>
      <c r="H8925"/>
      <c r="I8925"/>
    </row>
    <row r="8926" spans="2:9" ht="15" x14ac:dyDescent="0.25">
      <c r="B8926"/>
      <c r="C8926"/>
      <c r="D8926"/>
      <c r="E8926"/>
      <c r="F8926"/>
      <c r="G8926" s="20"/>
      <c r="H8926"/>
      <c r="I8926"/>
    </row>
    <row r="8927" spans="2:9" ht="15" x14ac:dyDescent="0.25">
      <c r="B8927"/>
      <c r="C8927"/>
      <c r="D8927"/>
      <c r="E8927"/>
      <c r="F8927"/>
      <c r="G8927" s="20"/>
      <c r="H8927"/>
      <c r="I8927"/>
    </row>
    <row r="8928" spans="2:9" ht="15" x14ac:dyDescent="0.25">
      <c r="B8928"/>
      <c r="C8928"/>
      <c r="D8928"/>
      <c r="E8928"/>
      <c r="F8928"/>
      <c r="G8928" s="20"/>
      <c r="H8928"/>
      <c r="I8928"/>
    </row>
    <row r="8929" spans="2:9" ht="15" x14ac:dyDescent="0.25">
      <c r="B8929"/>
      <c r="C8929"/>
      <c r="D8929"/>
      <c r="E8929"/>
      <c r="F8929"/>
      <c r="G8929" s="20"/>
      <c r="H8929"/>
      <c r="I8929"/>
    </row>
    <row r="8930" spans="2:9" ht="15" x14ac:dyDescent="0.25">
      <c r="B8930"/>
      <c r="C8930"/>
      <c r="D8930"/>
      <c r="E8930"/>
      <c r="F8930"/>
      <c r="G8930" s="20"/>
      <c r="H8930"/>
      <c r="I8930"/>
    </row>
    <row r="8931" spans="2:9" ht="15" x14ac:dyDescent="0.25">
      <c r="B8931"/>
      <c r="C8931"/>
      <c r="D8931"/>
      <c r="E8931"/>
      <c r="F8931"/>
      <c r="G8931" s="20"/>
      <c r="H8931"/>
      <c r="I8931"/>
    </row>
    <row r="8932" spans="2:9" ht="15" x14ac:dyDescent="0.25">
      <c r="B8932"/>
      <c r="C8932"/>
      <c r="D8932"/>
      <c r="E8932"/>
      <c r="F8932"/>
      <c r="G8932" s="20"/>
      <c r="H8932"/>
      <c r="I8932"/>
    </row>
    <row r="8933" spans="2:9" ht="15" x14ac:dyDescent="0.25">
      <c r="B8933"/>
      <c r="C8933"/>
      <c r="D8933"/>
      <c r="E8933"/>
      <c r="F8933"/>
      <c r="G8933" s="20"/>
      <c r="H8933"/>
      <c r="I8933"/>
    </row>
    <row r="8934" spans="2:9" ht="15" x14ac:dyDescent="0.25">
      <c r="B8934"/>
      <c r="C8934"/>
      <c r="D8934"/>
      <c r="E8934"/>
      <c r="F8934"/>
      <c r="G8934" s="20"/>
      <c r="H8934"/>
      <c r="I8934"/>
    </row>
    <row r="8935" spans="2:9" ht="15" x14ac:dyDescent="0.25">
      <c r="B8935"/>
      <c r="C8935"/>
      <c r="D8935"/>
      <c r="E8935"/>
      <c r="F8935"/>
      <c r="G8935" s="20"/>
      <c r="H8935"/>
      <c r="I8935"/>
    </row>
    <row r="8936" spans="2:9" ht="15" x14ac:dyDescent="0.25">
      <c r="B8936"/>
      <c r="C8936"/>
      <c r="D8936"/>
      <c r="E8936"/>
      <c r="F8936"/>
      <c r="G8936" s="20"/>
      <c r="H8936"/>
      <c r="I8936"/>
    </row>
    <row r="8937" spans="2:9" ht="15" x14ac:dyDescent="0.25">
      <c r="B8937"/>
      <c r="C8937"/>
      <c r="D8937"/>
      <c r="E8937"/>
      <c r="F8937"/>
      <c r="G8937" s="20"/>
      <c r="H8937"/>
      <c r="I8937"/>
    </row>
    <row r="8938" spans="2:9" ht="15" x14ac:dyDescent="0.25">
      <c r="B8938"/>
      <c r="C8938"/>
      <c r="D8938"/>
      <c r="E8938"/>
      <c r="F8938"/>
      <c r="G8938" s="20"/>
      <c r="H8938"/>
      <c r="I8938"/>
    </row>
    <row r="8939" spans="2:9" ht="15" x14ac:dyDescent="0.25">
      <c r="B8939"/>
      <c r="C8939"/>
      <c r="D8939"/>
      <c r="E8939"/>
      <c r="F8939"/>
      <c r="G8939" s="20"/>
      <c r="H8939"/>
      <c r="I8939"/>
    </row>
    <row r="8940" spans="2:9" ht="15" x14ac:dyDescent="0.25">
      <c r="B8940"/>
      <c r="C8940"/>
      <c r="D8940"/>
      <c r="E8940"/>
      <c r="F8940"/>
      <c r="G8940" s="20"/>
      <c r="H8940"/>
      <c r="I8940"/>
    </row>
    <row r="8941" spans="2:9" ht="15" x14ac:dyDescent="0.25">
      <c r="B8941"/>
      <c r="C8941"/>
      <c r="D8941"/>
      <c r="E8941"/>
      <c r="F8941"/>
      <c r="G8941" s="20"/>
      <c r="H8941"/>
      <c r="I8941"/>
    </row>
    <row r="8942" spans="2:9" ht="15" x14ac:dyDescent="0.25">
      <c r="B8942"/>
      <c r="C8942"/>
      <c r="D8942"/>
      <c r="E8942"/>
      <c r="F8942"/>
      <c r="G8942" s="20"/>
      <c r="H8942"/>
      <c r="I8942"/>
    </row>
    <row r="8943" spans="2:9" ht="15" x14ac:dyDescent="0.25">
      <c r="B8943"/>
      <c r="C8943"/>
      <c r="D8943"/>
      <c r="E8943"/>
      <c r="F8943"/>
      <c r="G8943" s="20"/>
      <c r="H8943"/>
      <c r="I8943"/>
    </row>
    <row r="8944" spans="2:9" ht="15" x14ac:dyDescent="0.25">
      <c r="B8944"/>
      <c r="C8944"/>
      <c r="D8944"/>
      <c r="E8944"/>
      <c r="F8944"/>
      <c r="G8944" s="20"/>
      <c r="H8944"/>
      <c r="I8944"/>
    </row>
    <row r="8945" spans="2:9" ht="15" x14ac:dyDescent="0.25">
      <c r="B8945"/>
      <c r="C8945"/>
      <c r="D8945"/>
      <c r="E8945"/>
      <c r="F8945"/>
      <c r="G8945" s="20"/>
      <c r="H8945"/>
      <c r="I8945"/>
    </row>
    <row r="8946" spans="2:9" ht="15" x14ac:dyDescent="0.25">
      <c r="B8946"/>
      <c r="C8946"/>
      <c r="D8946"/>
      <c r="E8946"/>
      <c r="F8946"/>
      <c r="G8946" s="20"/>
      <c r="H8946"/>
      <c r="I8946"/>
    </row>
    <row r="8947" spans="2:9" ht="15" x14ac:dyDescent="0.25">
      <c r="B8947"/>
      <c r="C8947"/>
      <c r="D8947"/>
      <c r="E8947"/>
      <c r="F8947"/>
      <c r="G8947" s="20"/>
      <c r="H8947"/>
      <c r="I8947"/>
    </row>
    <row r="8948" spans="2:9" ht="15" x14ac:dyDescent="0.25">
      <c r="B8948"/>
      <c r="C8948"/>
      <c r="D8948"/>
      <c r="E8948"/>
      <c r="F8948"/>
      <c r="G8948" s="20"/>
      <c r="H8948"/>
      <c r="I8948"/>
    </row>
    <row r="8949" spans="2:9" ht="15" x14ac:dyDescent="0.25">
      <c r="B8949"/>
      <c r="C8949"/>
      <c r="D8949"/>
      <c r="E8949"/>
      <c r="F8949"/>
      <c r="G8949" s="20"/>
      <c r="H8949"/>
      <c r="I8949"/>
    </row>
    <row r="8950" spans="2:9" ht="15" x14ac:dyDescent="0.25">
      <c r="B8950"/>
      <c r="C8950"/>
      <c r="D8950"/>
      <c r="E8950"/>
      <c r="F8950"/>
      <c r="G8950" s="20"/>
      <c r="H8950"/>
      <c r="I8950"/>
    </row>
    <row r="8951" spans="2:9" ht="15" x14ac:dyDescent="0.25">
      <c r="B8951"/>
      <c r="C8951"/>
      <c r="D8951"/>
      <c r="E8951"/>
      <c r="F8951"/>
      <c r="G8951" s="20"/>
      <c r="H8951"/>
      <c r="I8951"/>
    </row>
    <row r="8952" spans="2:9" ht="15" x14ac:dyDescent="0.25">
      <c r="B8952"/>
      <c r="C8952"/>
      <c r="D8952"/>
      <c r="E8952"/>
      <c r="F8952"/>
      <c r="G8952" s="20"/>
      <c r="H8952"/>
      <c r="I8952"/>
    </row>
    <row r="8953" spans="2:9" ht="15" x14ac:dyDescent="0.25">
      <c r="B8953"/>
      <c r="C8953"/>
      <c r="D8953"/>
      <c r="E8953"/>
      <c r="F8953"/>
      <c r="G8953" s="20"/>
      <c r="H8953"/>
      <c r="I8953"/>
    </row>
    <row r="8954" spans="2:9" ht="15" x14ac:dyDescent="0.25">
      <c r="B8954"/>
      <c r="C8954"/>
      <c r="D8954"/>
      <c r="E8954"/>
      <c r="F8954"/>
      <c r="G8954" s="20"/>
      <c r="H8954"/>
      <c r="I8954"/>
    </row>
    <row r="8955" spans="2:9" ht="15" x14ac:dyDescent="0.25">
      <c r="B8955"/>
      <c r="C8955"/>
      <c r="D8955"/>
      <c r="E8955"/>
      <c r="F8955"/>
      <c r="G8955" s="20"/>
      <c r="H8955"/>
      <c r="I8955"/>
    </row>
    <row r="8956" spans="2:9" ht="15" x14ac:dyDescent="0.25">
      <c r="B8956"/>
      <c r="C8956"/>
      <c r="D8956"/>
      <c r="E8956"/>
      <c r="F8956"/>
      <c r="G8956" s="20"/>
      <c r="H8956"/>
      <c r="I8956"/>
    </row>
    <row r="8957" spans="2:9" ht="15" x14ac:dyDescent="0.25">
      <c r="B8957"/>
      <c r="C8957"/>
      <c r="D8957"/>
      <c r="E8957"/>
      <c r="F8957"/>
      <c r="G8957" s="20"/>
      <c r="H8957"/>
      <c r="I8957"/>
    </row>
    <row r="8958" spans="2:9" ht="15" x14ac:dyDescent="0.25">
      <c r="B8958"/>
      <c r="C8958"/>
      <c r="D8958"/>
      <c r="E8958"/>
      <c r="F8958"/>
      <c r="G8958" s="20"/>
      <c r="H8958"/>
      <c r="I8958"/>
    </row>
    <row r="8959" spans="2:9" ht="15" x14ac:dyDescent="0.25">
      <c r="B8959"/>
      <c r="C8959"/>
      <c r="D8959"/>
      <c r="E8959"/>
      <c r="F8959"/>
      <c r="G8959" s="20"/>
      <c r="H8959"/>
      <c r="I8959"/>
    </row>
    <row r="8960" spans="2:9" ht="15" x14ac:dyDescent="0.25">
      <c r="B8960"/>
      <c r="C8960"/>
      <c r="D8960"/>
      <c r="E8960"/>
      <c r="F8960"/>
      <c r="G8960" s="20"/>
      <c r="H8960"/>
      <c r="I8960"/>
    </row>
    <row r="8961" spans="2:9" ht="15" x14ac:dyDescent="0.25">
      <c r="B8961"/>
      <c r="C8961"/>
      <c r="D8961"/>
      <c r="E8961"/>
      <c r="F8961"/>
      <c r="G8961" s="20"/>
      <c r="H8961"/>
      <c r="I8961"/>
    </row>
    <row r="8962" spans="2:9" ht="15" x14ac:dyDescent="0.25">
      <c r="B8962"/>
      <c r="C8962"/>
      <c r="D8962"/>
      <c r="E8962"/>
      <c r="F8962"/>
      <c r="G8962" s="20"/>
      <c r="H8962"/>
      <c r="I8962"/>
    </row>
    <row r="8963" spans="2:9" ht="15" x14ac:dyDescent="0.25">
      <c r="B8963"/>
      <c r="C8963"/>
      <c r="D8963"/>
      <c r="E8963"/>
      <c r="F8963"/>
      <c r="G8963" s="20"/>
      <c r="H8963"/>
      <c r="I8963"/>
    </row>
    <row r="8964" spans="2:9" ht="15" x14ac:dyDescent="0.25">
      <c r="B8964"/>
      <c r="C8964"/>
      <c r="D8964"/>
      <c r="E8964"/>
      <c r="F8964"/>
      <c r="G8964" s="20"/>
      <c r="H8964"/>
      <c r="I8964"/>
    </row>
    <row r="8965" spans="2:9" ht="15" x14ac:dyDescent="0.25">
      <c r="B8965"/>
      <c r="C8965"/>
      <c r="D8965"/>
      <c r="E8965"/>
      <c r="F8965"/>
      <c r="G8965" s="20"/>
      <c r="H8965"/>
      <c r="I8965"/>
    </row>
    <row r="8966" spans="2:9" ht="15" x14ac:dyDescent="0.25">
      <c r="B8966"/>
      <c r="C8966"/>
      <c r="D8966"/>
      <c r="E8966"/>
      <c r="F8966"/>
      <c r="G8966" s="20"/>
      <c r="H8966"/>
      <c r="I8966"/>
    </row>
    <row r="8967" spans="2:9" ht="15" x14ac:dyDescent="0.25">
      <c r="B8967"/>
      <c r="C8967"/>
      <c r="D8967"/>
      <c r="E8967"/>
      <c r="F8967"/>
      <c r="G8967" s="20"/>
      <c r="H8967"/>
      <c r="I8967"/>
    </row>
    <row r="8968" spans="2:9" ht="15" x14ac:dyDescent="0.25">
      <c r="B8968"/>
      <c r="C8968"/>
      <c r="D8968"/>
      <c r="E8968"/>
      <c r="F8968"/>
      <c r="G8968" s="20"/>
      <c r="H8968"/>
      <c r="I8968"/>
    </row>
    <row r="8969" spans="2:9" ht="15" x14ac:dyDescent="0.25">
      <c r="B8969"/>
      <c r="C8969"/>
      <c r="D8969"/>
      <c r="E8969"/>
      <c r="F8969"/>
      <c r="G8969" s="20"/>
      <c r="H8969"/>
      <c r="I8969"/>
    </row>
    <row r="8970" spans="2:9" ht="15" x14ac:dyDescent="0.25">
      <c r="B8970"/>
      <c r="C8970"/>
      <c r="D8970"/>
      <c r="E8970"/>
      <c r="F8970"/>
      <c r="G8970" s="20"/>
      <c r="H8970"/>
      <c r="I8970"/>
    </row>
    <row r="8971" spans="2:9" ht="15" x14ac:dyDescent="0.25">
      <c r="B8971"/>
      <c r="C8971"/>
      <c r="D8971"/>
      <c r="E8971"/>
      <c r="F8971"/>
      <c r="G8971" s="20"/>
      <c r="H8971"/>
      <c r="I8971"/>
    </row>
    <row r="8972" spans="2:9" ht="15" x14ac:dyDescent="0.25">
      <c r="B8972"/>
      <c r="C8972"/>
      <c r="D8972"/>
      <c r="E8972"/>
      <c r="F8972"/>
      <c r="G8972" s="20"/>
      <c r="H8972"/>
      <c r="I8972"/>
    </row>
    <row r="8973" spans="2:9" ht="15" x14ac:dyDescent="0.25">
      <c r="B8973"/>
      <c r="C8973"/>
      <c r="D8973"/>
      <c r="E8973"/>
      <c r="F8973"/>
      <c r="G8973" s="20"/>
      <c r="H8973"/>
      <c r="I8973"/>
    </row>
    <row r="8974" spans="2:9" ht="15" x14ac:dyDescent="0.25">
      <c r="B8974"/>
      <c r="C8974"/>
      <c r="D8974"/>
      <c r="E8974"/>
      <c r="F8974"/>
      <c r="G8974" s="20"/>
      <c r="H8974"/>
      <c r="I8974"/>
    </row>
    <row r="8975" spans="2:9" ht="15" x14ac:dyDescent="0.25">
      <c r="B8975"/>
      <c r="C8975"/>
      <c r="D8975"/>
      <c r="E8975"/>
      <c r="F8975"/>
      <c r="G8975" s="20"/>
      <c r="H8975"/>
      <c r="I8975"/>
    </row>
    <row r="8976" spans="2:9" ht="15" x14ac:dyDescent="0.25">
      <c r="B8976"/>
      <c r="C8976"/>
      <c r="D8976"/>
      <c r="E8976"/>
      <c r="F8976"/>
      <c r="G8976" s="20"/>
      <c r="H8976"/>
      <c r="I8976"/>
    </row>
    <row r="8977" spans="2:9" ht="15" x14ac:dyDescent="0.25">
      <c r="B8977"/>
      <c r="C8977"/>
      <c r="D8977"/>
      <c r="E8977"/>
      <c r="F8977"/>
      <c r="G8977" s="20"/>
      <c r="H8977"/>
      <c r="I8977"/>
    </row>
    <row r="8978" spans="2:9" ht="15" x14ac:dyDescent="0.25">
      <c r="B8978"/>
      <c r="C8978"/>
      <c r="D8978"/>
      <c r="E8978"/>
      <c r="F8978"/>
      <c r="G8978" s="20"/>
      <c r="H8978"/>
      <c r="I8978"/>
    </row>
    <row r="8979" spans="2:9" ht="15" x14ac:dyDescent="0.25">
      <c r="B8979"/>
      <c r="C8979"/>
      <c r="D8979"/>
      <c r="E8979"/>
      <c r="F8979"/>
      <c r="G8979" s="20"/>
      <c r="H8979"/>
      <c r="I8979"/>
    </row>
    <row r="8980" spans="2:9" ht="15" x14ac:dyDescent="0.25">
      <c r="B8980"/>
      <c r="C8980"/>
      <c r="D8980"/>
      <c r="E8980"/>
      <c r="F8980"/>
      <c r="G8980" s="20"/>
      <c r="H8980"/>
      <c r="I8980"/>
    </row>
    <row r="8981" spans="2:9" ht="15" x14ac:dyDescent="0.25">
      <c r="B8981"/>
      <c r="C8981"/>
      <c r="D8981"/>
      <c r="E8981"/>
      <c r="F8981"/>
      <c r="G8981" s="20"/>
      <c r="H8981"/>
      <c r="I8981"/>
    </row>
    <row r="8982" spans="2:9" ht="15" x14ac:dyDescent="0.25">
      <c r="B8982"/>
      <c r="C8982"/>
      <c r="D8982"/>
      <c r="E8982"/>
      <c r="F8982"/>
      <c r="G8982" s="20"/>
      <c r="H8982"/>
      <c r="I8982"/>
    </row>
    <row r="8983" spans="2:9" ht="15" x14ac:dyDescent="0.25">
      <c r="B8983"/>
      <c r="C8983"/>
      <c r="D8983"/>
      <c r="E8983"/>
      <c r="F8983"/>
      <c r="G8983" s="20"/>
      <c r="H8983"/>
      <c r="I8983"/>
    </row>
    <row r="8984" spans="2:9" ht="15" x14ac:dyDescent="0.25">
      <c r="B8984"/>
      <c r="C8984"/>
      <c r="D8984"/>
      <c r="E8984"/>
      <c r="F8984"/>
      <c r="G8984" s="20"/>
      <c r="H8984"/>
      <c r="I8984"/>
    </row>
    <row r="8985" spans="2:9" ht="15" x14ac:dyDescent="0.25">
      <c r="B8985"/>
      <c r="C8985"/>
      <c r="D8985"/>
      <c r="E8985"/>
      <c r="F8985"/>
      <c r="G8985" s="20"/>
      <c r="H8985"/>
      <c r="I8985"/>
    </row>
    <row r="8986" spans="2:9" ht="15" x14ac:dyDescent="0.25">
      <c r="B8986"/>
      <c r="C8986"/>
      <c r="D8986"/>
      <c r="E8986"/>
      <c r="F8986"/>
      <c r="G8986" s="20"/>
      <c r="H8986"/>
      <c r="I8986"/>
    </row>
    <row r="8987" spans="2:9" ht="15" x14ac:dyDescent="0.25">
      <c r="B8987"/>
      <c r="C8987"/>
      <c r="D8987"/>
      <c r="E8987"/>
      <c r="F8987"/>
      <c r="G8987" s="20"/>
      <c r="H8987"/>
      <c r="I8987"/>
    </row>
    <row r="8988" spans="2:9" ht="15" x14ac:dyDescent="0.25">
      <c r="B8988"/>
      <c r="C8988"/>
      <c r="D8988"/>
      <c r="E8988"/>
      <c r="F8988"/>
      <c r="G8988" s="20"/>
      <c r="H8988"/>
      <c r="I8988"/>
    </row>
    <row r="8989" spans="2:9" ht="15" x14ac:dyDescent="0.25">
      <c r="B8989"/>
      <c r="C8989"/>
      <c r="D8989"/>
      <c r="E8989"/>
      <c r="F8989"/>
      <c r="G8989" s="20"/>
      <c r="H8989"/>
      <c r="I8989"/>
    </row>
    <row r="8990" spans="2:9" ht="15" x14ac:dyDescent="0.25">
      <c r="B8990"/>
      <c r="C8990"/>
      <c r="D8990"/>
      <c r="E8990"/>
      <c r="F8990"/>
      <c r="G8990" s="20"/>
      <c r="H8990"/>
      <c r="I8990"/>
    </row>
    <row r="8991" spans="2:9" ht="15" x14ac:dyDescent="0.25">
      <c r="B8991"/>
      <c r="C8991"/>
      <c r="D8991"/>
      <c r="E8991"/>
      <c r="F8991"/>
      <c r="G8991" s="20"/>
      <c r="H8991"/>
      <c r="I8991"/>
    </row>
    <row r="8992" spans="2:9" ht="15" x14ac:dyDescent="0.25">
      <c r="B8992"/>
      <c r="C8992"/>
      <c r="D8992"/>
      <c r="E8992"/>
      <c r="F8992"/>
      <c r="G8992" s="20"/>
      <c r="H8992"/>
      <c r="I8992"/>
    </row>
    <row r="8993" spans="2:9" ht="15" x14ac:dyDescent="0.25">
      <c r="B8993"/>
      <c r="C8993"/>
      <c r="D8993"/>
      <c r="E8993"/>
      <c r="F8993"/>
      <c r="G8993" s="20"/>
      <c r="H8993"/>
      <c r="I8993"/>
    </row>
    <row r="8994" spans="2:9" ht="15" x14ac:dyDescent="0.25">
      <c r="B8994"/>
      <c r="C8994"/>
      <c r="D8994"/>
      <c r="E8994"/>
      <c r="F8994"/>
      <c r="G8994" s="20"/>
      <c r="H8994"/>
      <c r="I8994"/>
    </row>
    <row r="8995" spans="2:9" ht="15" x14ac:dyDescent="0.25">
      <c r="B8995"/>
      <c r="C8995"/>
      <c r="D8995"/>
      <c r="E8995"/>
      <c r="F8995"/>
      <c r="G8995" s="20"/>
      <c r="H8995"/>
      <c r="I8995"/>
    </row>
    <row r="8996" spans="2:9" ht="15" x14ac:dyDescent="0.25">
      <c r="B8996"/>
      <c r="C8996"/>
      <c r="D8996"/>
      <c r="E8996"/>
      <c r="F8996"/>
      <c r="G8996" s="20"/>
      <c r="H8996"/>
      <c r="I8996"/>
    </row>
    <row r="8997" spans="2:9" ht="15" x14ac:dyDescent="0.25">
      <c r="B8997"/>
      <c r="C8997"/>
      <c r="D8997"/>
      <c r="E8997"/>
      <c r="F8997"/>
      <c r="G8997" s="20"/>
      <c r="H8997"/>
      <c r="I8997"/>
    </row>
    <row r="8998" spans="2:9" ht="15" x14ac:dyDescent="0.25">
      <c r="B8998"/>
      <c r="C8998"/>
      <c r="D8998"/>
      <c r="E8998"/>
      <c r="F8998"/>
      <c r="G8998" s="20"/>
      <c r="H8998"/>
      <c r="I8998"/>
    </row>
    <row r="8999" spans="2:9" ht="15" x14ac:dyDescent="0.25">
      <c r="B8999"/>
      <c r="C8999"/>
      <c r="D8999"/>
      <c r="E8999"/>
      <c r="F8999"/>
      <c r="G8999" s="20"/>
      <c r="H8999"/>
      <c r="I8999"/>
    </row>
    <row r="9000" spans="2:9" ht="15" x14ac:dyDescent="0.25">
      <c r="B9000"/>
      <c r="C9000"/>
      <c r="D9000"/>
      <c r="E9000"/>
      <c r="F9000"/>
      <c r="G9000" s="20"/>
      <c r="H9000"/>
      <c r="I9000"/>
    </row>
    <row r="9001" spans="2:9" ht="15" x14ac:dyDescent="0.25">
      <c r="B9001"/>
      <c r="C9001"/>
      <c r="D9001"/>
      <c r="E9001"/>
      <c r="F9001"/>
      <c r="G9001" s="20"/>
      <c r="H9001"/>
      <c r="I9001"/>
    </row>
    <row r="9002" spans="2:9" ht="15" x14ac:dyDescent="0.25">
      <c r="B9002"/>
      <c r="C9002"/>
      <c r="D9002"/>
      <c r="E9002"/>
      <c r="F9002"/>
      <c r="G9002" s="20"/>
      <c r="H9002"/>
      <c r="I9002"/>
    </row>
    <row r="9003" spans="2:9" ht="15" x14ac:dyDescent="0.25">
      <c r="B9003"/>
      <c r="C9003"/>
      <c r="D9003"/>
      <c r="E9003"/>
      <c r="F9003"/>
      <c r="G9003" s="20"/>
      <c r="H9003"/>
      <c r="I9003"/>
    </row>
    <row r="9004" spans="2:9" ht="15" x14ac:dyDescent="0.25">
      <c r="B9004"/>
      <c r="C9004"/>
      <c r="D9004"/>
      <c r="E9004"/>
      <c r="F9004"/>
      <c r="G9004" s="20"/>
      <c r="H9004"/>
      <c r="I9004"/>
    </row>
    <row r="9005" spans="2:9" ht="15" x14ac:dyDescent="0.25">
      <c r="B9005"/>
      <c r="C9005"/>
      <c r="D9005"/>
      <c r="E9005"/>
      <c r="F9005"/>
      <c r="G9005" s="20"/>
      <c r="H9005"/>
      <c r="I9005"/>
    </row>
    <row r="9006" spans="2:9" ht="15" x14ac:dyDescent="0.25">
      <c r="B9006"/>
      <c r="C9006"/>
      <c r="D9006"/>
      <c r="E9006"/>
      <c r="F9006"/>
      <c r="G9006" s="20"/>
      <c r="H9006"/>
      <c r="I9006"/>
    </row>
    <row r="9007" spans="2:9" ht="15" x14ac:dyDescent="0.25">
      <c r="B9007"/>
      <c r="C9007"/>
      <c r="D9007"/>
      <c r="E9007"/>
      <c r="F9007"/>
      <c r="G9007" s="20"/>
      <c r="H9007"/>
      <c r="I9007"/>
    </row>
    <row r="9008" spans="2:9" ht="15" x14ac:dyDescent="0.25">
      <c r="B9008"/>
      <c r="C9008"/>
      <c r="D9008"/>
      <c r="E9008"/>
      <c r="F9008"/>
      <c r="G9008" s="20"/>
      <c r="H9008"/>
      <c r="I9008"/>
    </row>
    <row r="9009" spans="2:9" ht="15" x14ac:dyDescent="0.25">
      <c r="B9009"/>
      <c r="C9009"/>
      <c r="D9009"/>
      <c r="E9009"/>
      <c r="F9009"/>
      <c r="G9009" s="20"/>
      <c r="H9009"/>
      <c r="I9009"/>
    </row>
    <row r="9010" spans="2:9" ht="15" x14ac:dyDescent="0.25">
      <c r="B9010"/>
      <c r="C9010"/>
      <c r="D9010"/>
      <c r="E9010"/>
      <c r="F9010"/>
      <c r="G9010" s="20"/>
      <c r="H9010"/>
      <c r="I9010"/>
    </row>
    <row r="9011" spans="2:9" ht="15" x14ac:dyDescent="0.25">
      <c r="B9011"/>
      <c r="C9011"/>
      <c r="D9011"/>
      <c r="E9011"/>
      <c r="F9011"/>
      <c r="G9011" s="20"/>
      <c r="H9011"/>
      <c r="I9011"/>
    </row>
    <row r="9012" spans="2:9" ht="15" x14ac:dyDescent="0.25">
      <c r="B9012"/>
      <c r="C9012"/>
      <c r="D9012"/>
      <c r="E9012"/>
      <c r="F9012"/>
      <c r="G9012" s="20"/>
      <c r="H9012"/>
      <c r="I9012"/>
    </row>
    <row r="9013" spans="2:9" ht="15" x14ac:dyDescent="0.25">
      <c r="B9013"/>
      <c r="C9013"/>
      <c r="D9013"/>
      <c r="E9013"/>
      <c r="F9013"/>
      <c r="G9013" s="20"/>
      <c r="H9013"/>
      <c r="I9013"/>
    </row>
    <row r="9014" spans="2:9" ht="15" x14ac:dyDescent="0.25">
      <c r="B9014"/>
      <c r="C9014"/>
      <c r="D9014"/>
      <c r="E9014"/>
      <c r="F9014"/>
      <c r="G9014" s="20"/>
      <c r="H9014"/>
      <c r="I9014"/>
    </row>
    <row r="9015" spans="2:9" ht="15" x14ac:dyDescent="0.25">
      <c r="B9015"/>
      <c r="C9015"/>
      <c r="D9015"/>
      <c r="E9015"/>
      <c r="F9015"/>
      <c r="G9015" s="20"/>
      <c r="H9015"/>
      <c r="I9015"/>
    </row>
    <row r="9016" spans="2:9" ht="15" x14ac:dyDescent="0.25">
      <c r="B9016"/>
      <c r="C9016"/>
      <c r="D9016"/>
      <c r="E9016"/>
      <c r="F9016"/>
      <c r="G9016" s="20"/>
      <c r="H9016"/>
      <c r="I9016"/>
    </row>
    <row r="9017" spans="2:9" ht="15" x14ac:dyDescent="0.25">
      <c r="B9017"/>
      <c r="C9017"/>
      <c r="D9017"/>
      <c r="E9017"/>
      <c r="F9017"/>
      <c r="G9017" s="20"/>
      <c r="H9017"/>
      <c r="I9017"/>
    </row>
    <row r="9018" spans="2:9" ht="15" x14ac:dyDescent="0.25">
      <c r="B9018"/>
      <c r="C9018"/>
      <c r="D9018"/>
      <c r="E9018"/>
      <c r="F9018"/>
      <c r="G9018" s="20"/>
      <c r="H9018"/>
      <c r="I9018"/>
    </row>
    <row r="9019" spans="2:9" ht="15" x14ac:dyDescent="0.25">
      <c r="B9019"/>
      <c r="C9019"/>
      <c r="D9019"/>
      <c r="E9019"/>
      <c r="F9019"/>
      <c r="G9019" s="20"/>
      <c r="H9019"/>
      <c r="I9019"/>
    </row>
    <row r="9020" spans="2:9" ht="15" x14ac:dyDescent="0.25">
      <c r="B9020"/>
      <c r="C9020"/>
      <c r="D9020"/>
      <c r="E9020"/>
      <c r="F9020"/>
      <c r="G9020" s="20"/>
      <c r="H9020"/>
      <c r="I9020"/>
    </row>
    <row r="9021" spans="2:9" ht="15" x14ac:dyDescent="0.25">
      <c r="B9021"/>
      <c r="C9021"/>
      <c r="D9021"/>
      <c r="E9021"/>
      <c r="F9021"/>
      <c r="G9021" s="20"/>
      <c r="H9021"/>
      <c r="I9021"/>
    </row>
    <row r="9022" spans="2:9" ht="15" x14ac:dyDescent="0.25">
      <c r="B9022"/>
      <c r="C9022"/>
      <c r="D9022"/>
      <c r="E9022"/>
      <c r="F9022"/>
      <c r="G9022" s="20"/>
      <c r="H9022"/>
      <c r="I9022"/>
    </row>
    <row r="9023" spans="2:9" ht="15" x14ac:dyDescent="0.25">
      <c r="B9023"/>
      <c r="C9023"/>
      <c r="D9023"/>
      <c r="E9023"/>
      <c r="F9023"/>
      <c r="G9023" s="20"/>
      <c r="H9023"/>
      <c r="I9023"/>
    </row>
    <row r="9024" spans="2:9" ht="15" x14ac:dyDescent="0.25">
      <c r="B9024"/>
      <c r="C9024"/>
      <c r="D9024"/>
      <c r="E9024"/>
      <c r="F9024"/>
      <c r="G9024" s="20"/>
      <c r="H9024"/>
      <c r="I9024"/>
    </row>
    <row r="9025" spans="2:9" ht="15" x14ac:dyDescent="0.25">
      <c r="B9025"/>
      <c r="C9025"/>
      <c r="D9025"/>
      <c r="E9025"/>
      <c r="F9025"/>
      <c r="G9025" s="20"/>
      <c r="H9025"/>
      <c r="I9025"/>
    </row>
    <row r="9026" spans="2:9" ht="15" x14ac:dyDescent="0.25">
      <c r="B9026"/>
      <c r="C9026"/>
      <c r="D9026"/>
      <c r="E9026"/>
      <c r="F9026"/>
      <c r="G9026" s="20"/>
      <c r="H9026"/>
      <c r="I9026"/>
    </row>
    <row r="9027" spans="2:9" ht="15" x14ac:dyDescent="0.25">
      <c r="B9027"/>
      <c r="C9027"/>
      <c r="D9027"/>
      <c r="E9027"/>
      <c r="F9027"/>
      <c r="G9027" s="20"/>
      <c r="H9027"/>
      <c r="I9027"/>
    </row>
    <row r="9028" spans="2:9" ht="15" x14ac:dyDescent="0.25">
      <c r="B9028"/>
      <c r="C9028"/>
      <c r="D9028"/>
      <c r="E9028"/>
      <c r="F9028"/>
      <c r="G9028" s="20"/>
      <c r="H9028"/>
      <c r="I9028"/>
    </row>
    <row r="9029" spans="2:9" ht="15" x14ac:dyDescent="0.25">
      <c r="B9029"/>
      <c r="C9029"/>
      <c r="D9029"/>
      <c r="E9029"/>
      <c r="F9029"/>
      <c r="G9029" s="20"/>
      <c r="H9029"/>
      <c r="I9029"/>
    </row>
    <row r="9030" spans="2:9" ht="15" x14ac:dyDescent="0.25">
      <c r="B9030"/>
      <c r="C9030"/>
      <c r="D9030"/>
      <c r="E9030"/>
      <c r="F9030"/>
      <c r="G9030" s="20"/>
      <c r="H9030"/>
      <c r="I9030"/>
    </row>
    <row r="9031" spans="2:9" ht="15" x14ac:dyDescent="0.25">
      <c r="B9031"/>
      <c r="C9031"/>
      <c r="D9031"/>
      <c r="E9031"/>
      <c r="F9031"/>
      <c r="G9031" s="20"/>
      <c r="H9031"/>
      <c r="I9031"/>
    </row>
    <row r="9032" spans="2:9" ht="15" x14ac:dyDescent="0.25">
      <c r="B9032"/>
      <c r="C9032"/>
      <c r="D9032"/>
      <c r="E9032"/>
      <c r="F9032"/>
      <c r="G9032" s="20"/>
      <c r="H9032"/>
      <c r="I9032"/>
    </row>
    <row r="9033" spans="2:9" ht="15" x14ac:dyDescent="0.25">
      <c r="B9033"/>
      <c r="C9033"/>
      <c r="D9033"/>
      <c r="E9033"/>
      <c r="F9033"/>
      <c r="G9033" s="20"/>
      <c r="H9033"/>
      <c r="I9033"/>
    </row>
    <row r="9034" spans="2:9" ht="15" x14ac:dyDescent="0.25">
      <c r="B9034"/>
      <c r="C9034"/>
      <c r="D9034"/>
      <c r="E9034"/>
      <c r="F9034"/>
      <c r="G9034" s="20"/>
      <c r="H9034"/>
      <c r="I9034"/>
    </row>
    <row r="9035" spans="2:9" ht="15" x14ac:dyDescent="0.25">
      <c r="B9035"/>
      <c r="C9035"/>
      <c r="D9035"/>
      <c r="E9035"/>
      <c r="F9035"/>
      <c r="G9035" s="20"/>
      <c r="H9035"/>
      <c r="I9035"/>
    </row>
    <row r="9036" spans="2:9" ht="15" x14ac:dyDescent="0.25">
      <c r="B9036"/>
      <c r="C9036"/>
      <c r="D9036"/>
      <c r="E9036"/>
      <c r="F9036"/>
      <c r="G9036" s="20"/>
      <c r="H9036"/>
      <c r="I9036"/>
    </row>
    <row r="9037" spans="2:9" ht="15" x14ac:dyDescent="0.25">
      <c r="B9037"/>
      <c r="C9037"/>
      <c r="D9037"/>
      <c r="E9037"/>
      <c r="F9037"/>
      <c r="G9037" s="20"/>
      <c r="H9037"/>
      <c r="I9037"/>
    </row>
    <row r="9038" spans="2:9" ht="15" x14ac:dyDescent="0.25">
      <c r="B9038"/>
      <c r="C9038"/>
      <c r="D9038"/>
      <c r="E9038"/>
      <c r="F9038"/>
      <c r="G9038" s="20"/>
      <c r="H9038"/>
      <c r="I9038"/>
    </row>
    <row r="9039" spans="2:9" ht="15" x14ac:dyDescent="0.25">
      <c r="B9039"/>
      <c r="C9039"/>
      <c r="D9039"/>
      <c r="E9039"/>
      <c r="F9039"/>
      <c r="G9039" s="20"/>
      <c r="H9039"/>
      <c r="I9039"/>
    </row>
    <row r="9040" spans="2:9" ht="15" x14ac:dyDescent="0.25">
      <c r="B9040"/>
      <c r="C9040"/>
      <c r="D9040"/>
      <c r="E9040"/>
      <c r="F9040"/>
      <c r="G9040" s="20"/>
      <c r="H9040"/>
      <c r="I9040"/>
    </row>
    <row r="9041" spans="2:9" ht="15" x14ac:dyDescent="0.25">
      <c r="B9041"/>
      <c r="C9041"/>
      <c r="D9041"/>
      <c r="E9041"/>
      <c r="F9041"/>
      <c r="G9041" s="20"/>
      <c r="H9041"/>
      <c r="I9041"/>
    </row>
    <row r="9042" spans="2:9" ht="15" x14ac:dyDescent="0.25">
      <c r="B9042"/>
      <c r="C9042"/>
      <c r="D9042"/>
      <c r="E9042"/>
      <c r="F9042"/>
      <c r="G9042" s="20"/>
      <c r="H9042"/>
      <c r="I9042"/>
    </row>
    <row r="9043" spans="2:9" ht="15" x14ac:dyDescent="0.25">
      <c r="B9043"/>
      <c r="C9043"/>
      <c r="D9043"/>
      <c r="E9043"/>
      <c r="F9043"/>
      <c r="G9043" s="20"/>
      <c r="H9043"/>
      <c r="I9043"/>
    </row>
    <row r="9044" spans="2:9" ht="15" x14ac:dyDescent="0.25">
      <c r="B9044"/>
      <c r="C9044"/>
      <c r="D9044"/>
      <c r="E9044"/>
      <c r="F9044"/>
      <c r="G9044" s="20"/>
      <c r="H9044"/>
      <c r="I9044"/>
    </row>
    <row r="9045" spans="2:9" ht="15" x14ac:dyDescent="0.25">
      <c r="B9045"/>
      <c r="C9045"/>
      <c r="D9045"/>
      <c r="E9045"/>
      <c r="F9045"/>
      <c r="G9045" s="20"/>
      <c r="H9045"/>
      <c r="I9045"/>
    </row>
    <row r="9046" spans="2:9" ht="15" x14ac:dyDescent="0.25">
      <c r="B9046"/>
      <c r="C9046"/>
      <c r="D9046"/>
      <c r="E9046"/>
      <c r="F9046"/>
      <c r="G9046" s="20"/>
      <c r="H9046"/>
      <c r="I9046"/>
    </row>
    <row r="9047" spans="2:9" ht="15" x14ac:dyDescent="0.25">
      <c r="B9047"/>
      <c r="C9047"/>
      <c r="D9047"/>
      <c r="E9047"/>
      <c r="F9047"/>
      <c r="G9047" s="20"/>
      <c r="H9047"/>
      <c r="I9047"/>
    </row>
    <row r="9048" spans="2:9" ht="15" x14ac:dyDescent="0.25">
      <c r="B9048"/>
      <c r="C9048"/>
      <c r="D9048"/>
      <c r="E9048"/>
      <c r="F9048"/>
      <c r="G9048" s="20"/>
      <c r="H9048"/>
      <c r="I9048"/>
    </row>
    <row r="9049" spans="2:9" ht="15" x14ac:dyDescent="0.25">
      <c r="B9049"/>
      <c r="C9049"/>
      <c r="D9049"/>
      <c r="E9049"/>
      <c r="F9049"/>
      <c r="G9049" s="20"/>
      <c r="H9049"/>
      <c r="I9049"/>
    </row>
    <row r="9050" spans="2:9" ht="15" x14ac:dyDescent="0.25">
      <c r="B9050"/>
      <c r="C9050"/>
      <c r="D9050"/>
      <c r="E9050"/>
      <c r="F9050"/>
      <c r="G9050" s="20"/>
      <c r="H9050"/>
      <c r="I9050"/>
    </row>
    <row r="9051" spans="2:9" ht="15" x14ac:dyDescent="0.25">
      <c r="B9051"/>
      <c r="C9051"/>
      <c r="D9051"/>
      <c r="E9051"/>
      <c r="F9051"/>
      <c r="G9051" s="20"/>
      <c r="H9051"/>
      <c r="I9051"/>
    </row>
    <row r="9052" spans="2:9" ht="15" x14ac:dyDescent="0.25">
      <c r="B9052"/>
      <c r="C9052"/>
      <c r="D9052"/>
      <c r="E9052"/>
      <c r="F9052"/>
      <c r="G9052" s="20"/>
      <c r="H9052"/>
      <c r="I9052"/>
    </row>
    <row r="9053" spans="2:9" ht="15" x14ac:dyDescent="0.25">
      <c r="B9053"/>
      <c r="C9053"/>
      <c r="D9053"/>
      <c r="E9053"/>
      <c r="F9053"/>
      <c r="G9053" s="20"/>
      <c r="H9053"/>
      <c r="I9053"/>
    </row>
    <row r="9054" spans="2:9" ht="15" x14ac:dyDescent="0.25">
      <c r="B9054"/>
      <c r="C9054"/>
      <c r="D9054"/>
      <c r="E9054"/>
      <c r="F9054"/>
      <c r="G9054" s="20"/>
      <c r="H9054"/>
      <c r="I9054"/>
    </row>
    <row r="9055" spans="2:9" ht="15" x14ac:dyDescent="0.25">
      <c r="B9055"/>
      <c r="C9055"/>
      <c r="D9055"/>
      <c r="E9055"/>
      <c r="F9055"/>
      <c r="G9055" s="20"/>
      <c r="H9055"/>
      <c r="I9055"/>
    </row>
    <row r="9056" spans="2:9" ht="15" x14ac:dyDescent="0.25">
      <c r="B9056"/>
      <c r="C9056"/>
      <c r="D9056"/>
      <c r="E9056"/>
      <c r="F9056"/>
      <c r="G9056" s="20"/>
      <c r="H9056"/>
      <c r="I9056"/>
    </row>
    <row r="9057" spans="2:9" ht="15" x14ac:dyDescent="0.25">
      <c r="B9057"/>
      <c r="C9057"/>
      <c r="D9057"/>
      <c r="E9057"/>
      <c r="F9057"/>
      <c r="G9057" s="20"/>
      <c r="H9057"/>
      <c r="I9057"/>
    </row>
    <row r="9058" spans="2:9" ht="15" x14ac:dyDescent="0.25">
      <c r="B9058"/>
      <c r="C9058"/>
      <c r="D9058"/>
      <c r="E9058"/>
      <c r="F9058"/>
      <c r="G9058" s="20"/>
      <c r="H9058"/>
      <c r="I9058"/>
    </row>
    <row r="9059" spans="2:9" ht="15" x14ac:dyDescent="0.25">
      <c r="B9059"/>
      <c r="C9059"/>
      <c r="D9059"/>
      <c r="E9059"/>
      <c r="F9059"/>
      <c r="G9059" s="20"/>
      <c r="H9059"/>
      <c r="I9059"/>
    </row>
    <row r="9060" spans="2:9" ht="15" x14ac:dyDescent="0.25">
      <c r="B9060"/>
      <c r="C9060"/>
      <c r="D9060"/>
      <c r="E9060"/>
      <c r="F9060"/>
      <c r="G9060" s="20"/>
      <c r="H9060"/>
      <c r="I9060"/>
    </row>
    <row r="9061" spans="2:9" ht="15" x14ac:dyDescent="0.25">
      <c r="B9061"/>
      <c r="C9061"/>
      <c r="D9061"/>
      <c r="E9061"/>
      <c r="F9061"/>
      <c r="G9061" s="20"/>
      <c r="H9061"/>
      <c r="I9061"/>
    </row>
    <row r="9062" spans="2:9" ht="15" x14ac:dyDescent="0.25">
      <c r="B9062"/>
      <c r="C9062"/>
      <c r="D9062"/>
      <c r="E9062"/>
      <c r="F9062"/>
      <c r="G9062" s="20"/>
      <c r="H9062"/>
      <c r="I9062"/>
    </row>
    <row r="9063" spans="2:9" ht="15" x14ac:dyDescent="0.25">
      <c r="B9063"/>
      <c r="C9063"/>
      <c r="D9063"/>
      <c r="E9063"/>
      <c r="F9063"/>
      <c r="G9063" s="20"/>
      <c r="H9063"/>
      <c r="I9063"/>
    </row>
    <row r="9064" spans="2:9" ht="15" x14ac:dyDescent="0.25">
      <c r="B9064"/>
      <c r="C9064"/>
      <c r="D9064"/>
      <c r="E9064"/>
      <c r="F9064"/>
      <c r="G9064" s="20"/>
      <c r="H9064"/>
      <c r="I9064"/>
    </row>
    <row r="9065" spans="2:9" ht="15" x14ac:dyDescent="0.25">
      <c r="B9065"/>
      <c r="C9065"/>
      <c r="D9065"/>
      <c r="E9065"/>
      <c r="F9065"/>
      <c r="G9065" s="20"/>
      <c r="H9065"/>
      <c r="I9065"/>
    </row>
    <row r="9066" spans="2:9" ht="15" x14ac:dyDescent="0.25">
      <c r="B9066"/>
      <c r="C9066"/>
      <c r="D9066"/>
      <c r="E9066"/>
      <c r="F9066"/>
      <c r="G9066" s="20"/>
      <c r="H9066"/>
      <c r="I9066"/>
    </row>
    <row r="9067" spans="2:9" ht="15" x14ac:dyDescent="0.25">
      <c r="B9067"/>
      <c r="C9067"/>
      <c r="D9067"/>
      <c r="E9067"/>
      <c r="F9067"/>
      <c r="G9067" s="20"/>
      <c r="H9067"/>
      <c r="I9067"/>
    </row>
    <row r="9068" spans="2:9" ht="15" x14ac:dyDescent="0.25">
      <c r="B9068"/>
      <c r="C9068"/>
      <c r="D9068"/>
      <c r="E9068"/>
      <c r="F9068"/>
      <c r="G9068" s="20"/>
      <c r="H9068"/>
      <c r="I9068"/>
    </row>
    <row r="9069" spans="2:9" ht="15" x14ac:dyDescent="0.25">
      <c r="B9069"/>
      <c r="C9069"/>
      <c r="D9069"/>
      <c r="E9069"/>
      <c r="F9069"/>
      <c r="G9069" s="20"/>
      <c r="H9069"/>
      <c r="I9069"/>
    </row>
    <row r="9070" spans="2:9" ht="15" x14ac:dyDescent="0.25">
      <c r="B9070"/>
      <c r="C9070"/>
      <c r="D9070"/>
      <c r="E9070"/>
      <c r="F9070"/>
      <c r="G9070" s="20"/>
      <c r="H9070"/>
      <c r="I9070"/>
    </row>
    <row r="9071" spans="2:9" ht="15" x14ac:dyDescent="0.25">
      <c r="B9071"/>
      <c r="C9071"/>
      <c r="D9071"/>
      <c r="E9071"/>
      <c r="F9071"/>
      <c r="G9071" s="20"/>
      <c r="H9071"/>
      <c r="I9071"/>
    </row>
    <row r="9072" spans="2:9" ht="15" x14ac:dyDescent="0.25">
      <c r="B9072"/>
      <c r="C9072"/>
      <c r="D9072"/>
      <c r="E9072"/>
      <c r="F9072"/>
      <c r="G9072" s="20"/>
      <c r="H9072"/>
      <c r="I9072"/>
    </row>
    <row r="9073" spans="2:9" ht="15" x14ac:dyDescent="0.25">
      <c r="B9073"/>
      <c r="C9073"/>
      <c r="D9073"/>
      <c r="E9073"/>
      <c r="F9073"/>
      <c r="G9073" s="20"/>
      <c r="H9073"/>
      <c r="I9073"/>
    </row>
    <row r="9074" spans="2:9" ht="15" x14ac:dyDescent="0.25">
      <c r="B9074"/>
      <c r="C9074"/>
      <c r="D9074"/>
      <c r="E9074"/>
      <c r="F9074"/>
      <c r="G9074" s="20"/>
      <c r="H9074"/>
      <c r="I9074"/>
    </row>
    <row r="9075" spans="2:9" ht="15" x14ac:dyDescent="0.25">
      <c r="B9075"/>
      <c r="C9075"/>
      <c r="D9075"/>
      <c r="E9075"/>
      <c r="F9075"/>
      <c r="G9075" s="20"/>
      <c r="H9075"/>
      <c r="I9075"/>
    </row>
    <row r="9076" spans="2:9" ht="15" x14ac:dyDescent="0.25">
      <c r="B9076"/>
      <c r="C9076"/>
      <c r="D9076"/>
      <c r="E9076"/>
      <c r="F9076"/>
      <c r="G9076" s="20"/>
      <c r="H9076"/>
      <c r="I9076"/>
    </row>
    <row r="9077" spans="2:9" ht="15" x14ac:dyDescent="0.25">
      <c r="B9077"/>
      <c r="C9077"/>
      <c r="D9077"/>
      <c r="E9077"/>
      <c r="F9077"/>
      <c r="G9077" s="20"/>
      <c r="H9077"/>
      <c r="I9077"/>
    </row>
    <row r="9078" spans="2:9" ht="15" x14ac:dyDescent="0.25">
      <c r="B9078"/>
      <c r="C9078"/>
      <c r="D9078"/>
      <c r="E9078"/>
      <c r="F9078"/>
      <c r="G9078" s="20"/>
      <c r="H9078"/>
      <c r="I9078"/>
    </row>
    <row r="9079" spans="2:9" ht="15" x14ac:dyDescent="0.25">
      <c r="B9079"/>
      <c r="C9079"/>
      <c r="D9079"/>
      <c r="E9079"/>
      <c r="F9079"/>
      <c r="G9079" s="20"/>
      <c r="H9079"/>
      <c r="I9079"/>
    </row>
    <row r="9080" spans="2:9" ht="15" x14ac:dyDescent="0.25">
      <c r="B9080"/>
      <c r="C9080"/>
      <c r="D9080"/>
      <c r="E9080"/>
      <c r="F9080"/>
      <c r="G9080" s="20"/>
      <c r="H9080"/>
      <c r="I9080"/>
    </row>
    <row r="9081" spans="2:9" ht="15" x14ac:dyDescent="0.25">
      <c r="B9081"/>
      <c r="C9081"/>
      <c r="D9081"/>
      <c r="E9081"/>
      <c r="F9081"/>
      <c r="G9081" s="20"/>
      <c r="H9081"/>
      <c r="I9081"/>
    </row>
    <row r="9082" spans="2:9" ht="15" x14ac:dyDescent="0.25">
      <c r="B9082"/>
      <c r="C9082"/>
      <c r="D9082"/>
      <c r="E9082"/>
      <c r="F9082"/>
      <c r="G9082" s="20"/>
      <c r="H9082"/>
      <c r="I9082"/>
    </row>
    <row r="9083" spans="2:9" ht="15" x14ac:dyDescent="0.25">
      <c r="B9083"/>
      <c r="C9083"/>
      <c r="D9083"/>
      <c r="E9083"/>
      <c r="F9083"/>
      <c r="G9083" s="20"/>
      <c r="H9083"/>
      <c r="I9083"/>
    </row>
    <row r="9084" spans="2:9" ht="15" x14ac:dyDescent="0.25">
      <c r="B9084"/>
      <c r="C9084"/>
      <c r="D9084"/>
      <c r="E9084"/>
      <c r="F9084"/>
      <c r="G9084" s="20"/>
      <c r="H9084"/>
      <c r="I9084"/>
    </row>
    <row r="9085" spans="2:9" ht="15" x14ac:dyDescent="0.25">
      <c r="B9085"/>
      <c r="C9085"/>
      <c r="D9085"/>
      <c r="E9085"/>
      <c r="F9085"/>
      <c r="G9085" s="20"/>
      <c r="H9085"/>
      <c r="I9085"/>
    </row>
    <row r="9086" spans="2:9" ht="15" x14ac:dyDescent="0.25">
      <c r="B9086"/>
      <c r="C9086"/>
      <c r="D9086"/>
      <c r="E9086"/>
      <c r="F9086"/>
      <c r="G9086" s="20"/>
      <c r="H9086"/>
      <c r="I9086"/>
    </row>
    <row r="9087" spans="2:9" ht="15" x14ac:dyDescent="0.25">
      <c r="B9087"/>
      <c r="C9087"/>
      <c r="D9087"/>
      <c r="E9087"/>
      <c r="F9087"/>
      <c r="G9087" s="20"/>
      <c r="H9087"/>
      <c r="I9087"/>
    </row>
    <row r="9088" spans="2:9" ht="15" x14ac:dyDescent="0.25">
      <c r="B9088"/>
      <c r="C9088"/>
      <c r="D9088"/>
      <c r="E9088"/>
      <c r="F9088"/>
      <c r="G9088" s="20"/>
      <c r="H9088"/>
      <c r="I9088"/>
    </row>
    <row r="9089" spans="2:9" ht="15" x14ac:dyDescent="0.25">
      <c r="B9089"/>
      <c r="C9089"/>
      <c r="D9089"/>
      <c r="E9089"/>
      <c r="F9089"/>
      <c r="G9089" s="20"/>
      <c r="H9089"/>
      <c r="I9089"/>
    </row>
    <row r="9090" spans="2:9" ht="15" x14ac:dyDescent="0.25">
      <c r="B9090"/>
      <c r="C9090"/>
      <c r="D9090"/>
      <c r="E9090"/>
      <c r="F9090"/>
      <c r="G9090" s="20"/>
      <c r="H9090"/>
      <c r="I9090"/>
    </row>
    <row r="9091" spans="2:9" ht="15" x14ac:dyDescent="0.25">
      <c r="B9091"/>
      <c r="C9091"/>
      <c r="D9091"/>
      <c r="E9091"/>
      <c r="F9091"/>
      <c r="G9091" s="20"/>
      <c r="H9091"/>
      <c r="I9091"/>
    </row>
    <row r="9092" spans="2:9" ht="15" x14ac:dyDescent="0.25">
      <c r="B9092"/>
      <c r="C9092"/>
      <c r="D9092"/>
      <c r="E9092"/>
      <c r="F9092"/>
      <c r="G9092" s="20"/>
      <c r="H9092"/>
      <c r="I9092"/>
    </row>
    <row r="9093" spans="2:9" ht="15" x14ac:dyDescent="0.25">
      <c r="B9093"/>
      <c r="C9093"/>
      <c r="D9093"/>
      <c r="E9093"/>
      <c r="F9093"/>
      <c r="G9093" s="20"/>
      <c r="H9093"/>
      <c r="I9093"/>
    </row>
    <row r="9094" spans="2:9" ht="15" x14ac:dyDescent="0.25">
      <c r="B9094"/>
      <c r="C9094"/>
      <c r="D9094"/>
      <c r="E9094"/>
      <c r="F9094"/>
      <c r="G9094" s="20"/>
      <c r="H9094"/>
      <c r="I9094"/>
    </row>
    <row r="9095" spans="2:9" ht="15" x14ac:dyDescent="0.25">
      <c r="B9095"/>
      <c r="C9095"/>
      <c r="D9095"/>
      <c r="E9095"/>
      <c r="F9095"/>
      <c r="G9095" s="20"/>
      <c r="H9095"/>
      <c r="I9095"/>
    </row>
    <row r="9096" spans="2:9" ht="15" x14ac:dyDescent="0.25">
      <c r="B9096"/>
      <c r="C9096"/>
      <c r="D9096"/>
      <c r="E9096"/>
      <c r="F9096"/>
      <c r="G9096" s="20"/>
      <c r="H9096"/>
      <c r="I9096"/>
    </row>
    <row r="9097" spans="2:9" ht="15" x14ac:dyDescent="0.25">
      <c r="B9097"/>
      <c r="C9097"/>
      <c r="D9097"/>
      <c r="E9097"/>
      <c r="F9097"/>
      <c r="G9097" s="20"/>
      <c r="H9097"/>
      <c r="I9097"/>
    </row>
    <row r="9098" spans="2:9" ht="15" x14ac:dyDescent="0.25">
      <c r="B9098"/>
      <c r="C9098"/>
      <c r="D9098"/>
      <c r="E9098"/>
      <c r="F9098"/>
      <c r="G9098" s="20"/>
      <c r="H9098"/>
      <c r="I9098"/>
    </row>
    <row r="9099" spans="2:9" ht="15" x14ac:dyDescent="0.25">
      <c r="B9099"/>
      <c r="C9099"/>
      <c r="D9099"/>
      <c r="E9099"/>
      <c r="F9099"/>
      <c r="G9099" s="20"/>
      <c r="H9099"/>
      <c r="I9099"/>
    </row>
    <row r="9100" spans="2:9" ht="15" x14ac:dyDescent="0.25">
      <c r="B9100"/>
      <c r="C9100"/>
      <c r="D9100"/>
      <c r="E9100"/>
      <c r="F9100"/>
      <c r="G9100" s="20"/>
      <c r="H9100"/>
      <c r="I9100"/>
    </row>
    <row r="9101" spans="2:9" ht="15" x14ac:dyDescent="0.25">
      <c r="B9101"/>
      <c r="C9101"/>
      <c r="D9101"/>
      <c r="E9101"/>
      <c r="F9101"/>
      <c r="G9101" s="20"/>
      <c r="H9101"/>
      <c r="I9101"/>
    </row>
    <row r="9102" spans="2:9" ht="15" x14ac:dyDescent="0.25">
      <c r="B9102"/>
      <c r="C9102"/>
      <c r="D9102"/>
      <c r="E9102"/>
      <c r="F9102"/>
      <c r="G9102" s="20"/>
      <c r="H9102"/>
      <c r="I9102"/>
    </row>
    <row r="9103" spans="2:9" ht="15" x14ac:dyDescent="0.25">
      <c r="B9103"/>
      <c r="C9103"/>
      <c r="D9103"/>
      <c r="E9103"/>
      <c r="F9103"/>
      <c r="G9103" s="20"/>
      <c r="H9103"/>
      <c r="I9103"/>
    </row>
    <row r="9104" spans="2:9" ht="15" x14ac:dyDescent="0.25">
      <c r="B9104"/>
      <c r="C9104"/>
      <c r="D9104"/>
      <c r="E9104"/>
      <c r="F9104"/>
      <c r="G9104" s="20"/>
      <c r="H9104"/>
      <c r="I9104"/>
    </row>
    <row r="9105" spans="2:9" ht="15" x14ac:dyDescent="0.25">
      <c r="B9105"/>
      <c r="C9105"/>
      <c r="D9105"/>
      <c r="E9105"/>
      <c r="F9105"/>
      <c r="G9105" s="20"/>
      <c r="H9105"/>
      <c r="I9105"/>
    </row>
    <row r="9106" spans="2:9" ht="15" x14ac:dyDescent="0.25">
      <c r="B9106"/>
      <c r="C9106"/>
      <c r="D9106"/>
      <c r="E9106"/>
      <c r="F9106"/>
      <c r="G9106" s="20"/>
      <c r="H9106"/>
      <c r="I9106"/>
    </row>
    <row r="9107" spans="2:9" ht="15" x14ac:dyDescent="0.25">
      <c r="B9107"/>
      <c r="C9107"/>
      <c r="D9107"/>
      <c r="E9107"/>
      <c r="F9107"/>
      <c r="G9107" s="20"/>
      <c r="H9107"/>
      <c r="I9107"/>
    </row>
    <row r="9108" spans="2:9" ht="15" x14ac:dyDescent="0.25">
      <c r="B9108"/>
      <c r="C9108"/>
      <c r="D9108"/>
      <c r="E9108"/>
      <c r="F9108"/>
      <c r="G9108" s="20"/>
      <c r="H9108"/>
      <c r="I9108"/>
    </row>
    <row r="9109" spans="2:9" ht="15" x14ac:dyDescent="0.25">
      <c r="B9109"/>
      <c r="C9109"/>
      <c r="D9109"/>
      <c r="E9109"/>
      <c r="F9109"/>
      <c r="G9109" s="20"/>
      <c r="H9109"/>
      <c r="I9109"/>
    </row>
    <row r="9110" spans="2:9" ht="15" x14ac:dyDescent="0.25">
      <c r="B9110"/>
      <c r="C9110"/>
      <c r="D9110"/>
      <c r="E9110"/>
      <c r="F9110"/>
      <c r="G9110" s="20"/>
      <c r="H9110"/>
      <c r="I9110"/>
    </row>
    <row r="9111" spans="2:9" ht="15" x14ac:dyDescent="0.25">
      <c r="B9111"/>
      <c r="C9111"/>
      <c r="D9111"/>
      <c r="E9111"/>
      <c r="F9111"/>
      <c r="G9111" s="20"/>
      <c r="H9111"/>
      <c r="I9111"/>
    </row>
    <row r="9112" spans="2:9" ht="15" x14ac:dyDescent="0.25">
      <c r="B9112"/>
      <c r="C9112"/>
      <c r="D9112"/>
      <c r="E9112"/>
      <c r="F9112"/>
      <c r="G9112" s="20"/>
      <c r="H9112"/>
      <c r="I9112"/>
    </row>
    <row r="9113" spans="2:9" ht="15" x14ac:dyDescent="0.25">
      <c r="B9113"/>
      <c r="C9113"/>
      <c r="D9113"/>
      <c r="E9113"/>
      <c r="F9113"/>
      <c r="G9113" s="20"/>
      <c r="H9113"/>
      <c r="I9113"/>
    </row>
    <row r="9114" spans="2:9" ht="15" x14ac:dyDescent="0.25">
      <c r="B9114"/>
      <c r="C9114"/>
      <c r="D9114"/>
      <c r="E9114"/>
      <c r="F9114"/>
      <c r="G9114" s="20"/>
      <c r="H9114"/>
      <c r="I9114"/>
    </row>
    <row r="9115" spans="2:9" ht="15" x14ac:dyDescent="0.25">
      <c r="B9115"/>
      <c r="C9115"/>
      <c r="D9115"/>
      <c r="E9115"/>
      <c r="F9115"/>
      <c r="G9115" s="20"/>
      <c r="H9115"/>
      <c r="I9115"/>
    </row>
    <row r="9116" spans="2:9" ht="15" x14ac:dyDescent="0.25">
      <c r="B9116"/>
      <c r="C9116"/>
      <c r="D9116"/>
      <c r="E9116"/>
      <c r="F9116"/>
      <c r="G9116" s="20"/>
      <c r="H9116"/>
      <c r="I9116"/>
    </row>
    <row r="9117" spans="2:9" ht="15" x14ac:dyDescent="0.25">
      <c r="B9117"/>
      <c r="C9117"/>
      <c r="D9117"/>
      <c r="E9117"/>
      <c r="F9117"/>
      <c r="G9117" s="20"/>
      <c r="H9117"/>
      <c r="I9117"/>
    </row>
    <row r="9118" spans="2:9" ht="15" x14ac:dyDescent="0.25">
      <c r="B9118"/>
      <c r="C9118"/>
      <c r="D9118"/>
      <c r="E9118"/>
      <c r="F9118"/>
      <c r="G9118" s="20"/>
      <c r="H9118"/>
      <c r="I9118"/>
    </row>
    <row r="9119" spans="2:9" ht="15" x14ac:dyDescent="0.25">
      <c r="B9119"/>
      <c r="C9119"/>
      <c r="D9119"/>
      <c r="E9119"/>
      <c r="F9119"/>
      <c r="G9119" s="20"/>
      <c r="H9119"/>
      <c r="I9119"/>
    </row>
    <row r="9120" spans="2:9" ht="15" x14ac:dyDescent="0.25">
      <c r="B9120"/>
      <c r="C9120"/>
      <c r="D9120"/>
      <c r="E9120"/>
      <c r="F9120"/>
      <c r="G9120" s="20"/>
      <c r="H9120"/>
      <c r="I9120"/>
    </row>
    <row r="9121" spans="2:9" ht="15" x14ac:dyDescent="0.25">
      <c r="B9121"/>
      <c r="C9121"/>
      <c r="D9121"/>
      <c r="E9121"/>
      <c r="F9121"/>
      <c r="G9121" s="20"/>
      <c r="H9121"/>
      <c r="I9121"/>
    </row>
    <row r="9122" spans="2:9" ht="15" x14ac:dyDescent="0.25">
      <c r="B9122"/>
      <c r="C9122"/>
      <c r="D9122"/>
      <c r="E9122"/>
      <c r="F9122"/>
      <c r="G9122" s="20"/>
      <c r="H9122"/>
      <c r="I9122"/>
    </row>
    <row r="9123" spans="2:9" ht="15" x14ac:dyDescent="0.25">
      <c r="B9123"/>
      <c r="C9123"/>
      <c r="D9123"/>
      <c r="E9123"/>
      <c r="F9123"/>
      <c r="G9123" s="20"/>
      <c r="H9123"/>
      <c r="I9123"/>
    </row>
    <row r="9124" spans="2:9" ht="15" x14ac:dyDescent="0.25">
      <c r="B9124"/>
      <c r="C9124"/>
      <c r="D9124"/>
      <c r="E9124"/>
      <c r="F9124"/>
      <c r="G9124" s="20"/>
      <c r="H9124"/>
      <c r="I9124"/>
    </row>
    <row r="9125" spans="2:9" ht="15" x14ac:dyDescent="0.25">
      <c r="B9125"/>
      <c r="C9125"/>
      <c r="D9125"/>
      <c r="E9125"/>
      <c r="F9125"/>
      <c r="G9125" s="20"/>
      <c r="H9125"/>
      <c r="I9125"/>
    </row>
    <row r="9126" spans="2:9" ht="15" x14ac:dyDescent="0.25">
      <c r="B9126"/>
      <c r="C9126"/>
      <c r="D9126"/>
      <c r="E9126"/>
      <c r="F9126"/>
      <c r="G9126" s="20"/>
      <c r="H9126"/>
      <c r="I9126"/>
    </row>
    <row r="9127" spans="2:9" ht="15" x14ac:dyDescent="0.25">
      <c r="B9127"/>
      <c r="C9127"/>
      <c r="D9127"/>
      <c r="E9127"/>
      <c r="F9127"/>
      <c r="G9127" s="20"/>
      <c r="H9127"/>
      <c r="I9127"/>
    </row>
    <row r="9128" spans="2:9" ht="15" x14ac:dyDescent="0.25">
      <c r="B9128"/>
      <c r="C9128"/>
      <c r="D9128"/>
      <c r="E9128"/>
      <c r="F9128"/>
      <c r="G9128" s="20"/>
      <c r="H9128"/>
      <c r="I9128"/>
    </row>
    <row r="9129" spans="2:9" ht="15" x14ac:dyDescent="0.25">
      <c r="B9129"/>
      <c r="C9129"/>
      <c r="D9129"/>
      <c r="E9129"/>
      <c r="F9129"/>
      <c r="G9129" s="20"/>
      <c r="H9129"/>
      <c r="I9129"/>
    </row>
    <row r="9130" spans="2:9" ht="15" x14ac:dyDescent="0.25">
      <c r="B9130"/>
      <c r="C9130"/>
      <c r="D9130"/>
      <c r="E9130"/>
      <c r="F9130"/>
      <c r="G9130" s="20"/>
      <c r="H9130"/>
      <c r="I9130"/>
    </row>
    <row r="9131" spans="2:9" ht="15" x14ac:dyDescent="0.25">
      <c r="B9131"/>
      <c r="C9131"/>
      <c r="D9131"/>
      <c r="E9131"/>
      <c r="F9131"/>
      <c r="G9131" s="20"/>
      <c r="H9131"/>
      <c r="I9131"/>
    </row>
    <row r="9132" spans="2:9" ht="15" x14ac:dyDescent="0.25">
      <c r="B9132"/>
      <c r="C9132"/>
      <c r="D9132"/>
      <c r="E9132"/>
      <c r="F9132"/>
      <c r="G9132" s="20"/>
      <c r="H9132"/>
      <c r="I9132"/>
    </row>
    <row r="9133" spans="2:9" ht="15" x14ac:dyDescent="0.25">
      <c r="B9133"/>
      <c r="C9133"/>
      <c r="D9133"/>
      <c r="E9133"/>
      <c r="F9133"/>
      <c r="G9133" s="20"/>
      <c r="H9133"/>
      <c r="I9133"/>
    </row>
    <row r="9134" spans="2:9" ht="15" x14ac:dyDescent="0.25">
      <c r="B9134"/>
      <c r="C9134"/>
      <c r="D9134"/>
      <c r="E9134"/>
      <c r="F9134"/>
      <c r="G9134" s="20"/>
      <c r="H9134"/>
      <c r="I9134"/>
    </row>
    <row r="9135" spans="2:9" ht="15" x14ac:dyDescent="0.25">
      <c r="B9135"/>
      <c r="C9135"/>
      <c r="D9135"/>
      <c r="E9135"/>
      <c r="F9135"/>
      <c r="G9135" s="20"/>
      <c r="H9135"/>
      <c r="I9135"/>
    </row>
    <row r="9136" spans="2:9" ht="15" x14ac:dyDescent="0.25">
      <c r="B9136"/>
      <c r="C9136"/>
      <c r="D9136"/>
      <c r="E9136"/>
      <c r="F9136"/>
      <c r="G9136" s="20"/>
      <c r="H9136"/>
      <c r="I9136"/>
    </row>
    <row r="9137" spans="2:9" ht="15" x14ac:dyDescent="0.25">
      <c r="B9137"/>
      <c r="C9137"/>
      <c r="D9137"/>
      <c r="E9137"/>
      <c r="F9137"/>
      <c r="G9137" s="20"/>
      <c r="H9137"/>
      <c r="I9137"/>
    </row>
    <row r="9138" spans="2:9" ht="15" x14ac:dyDescent="0.25">
      <c r="B9138"/>
      <c r="C9138"/>
      <c r="D9138"/>
      <c r="E9138"/>
      <c r="F9138"/>
      <c r="G9138" s="20"/>
      <c r="H9138"/>
      <c r="I9138"/>
    </row>
    <row r="9139" spans="2:9" ht="15" x14ac:dyDescent="0.25">
      <c r="B9139"/>
      <c r="C9139"/>
      <c r="D9139"/>
      <c r="E9139"/>
      <c r="F9139"/>
      <c r="G9139" s="20"/>
      <c r="H9139"/>
      <c r="I9139"/>
    </row>
    <row r="9140" spans="2:9" ht="15" x14ac:dyDescent="0.25">
      <c r="B9140"/>
      <c r="C9140"/>
      <c r="D9140"/>
      <c r="E9140"/>
      <c r="F9140"/>
      <c r="G9140" s="20"/>
      <c r="H9140"/>
      <c r="I9140"/>
    </row>
    <row r="9141" spans="2:9" ht="15" x14ac:dyDescent="0.25">
      <c r="B9141"/>
      <c r="C9141"/>
      <c r="D9141"/>
      <c r="E9141"/>
      <c r="F9141"/>
      <c r="G9141" s="20"/>
      <c r="H9141"/>
      <c r="I9141"/>
    </row>
    <row r="9142" spans="2:9" ht="15" x14ac:dyDescent="0.25">
      <c r="B9142"/>
      <c r="C9142"/>
      <c r="D9142"/>
      <c r="E9142"/>
      <c r="F9142"/>
      <c r="G9142" s="20"/>
      <c r="H9142"/>
      <c r="I9142"/>
    </row>
    <row r="9143" spans="2:9" ht="15" x14ac:dyDescent="0.25">
      <c r="B9143"/>
      <c r="C9143"/>
      <c r="D9143"/>
      <c r="E9143"/>
      <c r="F9143"/>
      <c r="G9143" s="20"/>
      <c r="H9143"/>
      <c r="I9143"/>
    </row>
    <row r="9144" spans="2:9" ht="15" x14ac:dyDescent="0.25">
      <c r="B9144"/>
      <c r="C9144"/>
      <c r="D9144"/>
      <c r="E9144"/>
      <c r="F9144"/>
      <c r="G9144" s="20"/>
      <c r="H9144"/>
      <c r="I9144"/>
    </row>
    <row r="9145" spans="2:9" ht="15" x14ac:dyDescent="0.25">
      <c r="B9145"/>
      <c r="C9145"/>
      <c r="D9145"/>
      <c r="E9145"/>
      <c r="F9145"/>
      <c r="G9145" s="20"/>
      <c r="H9145"/>
      <c r="I9145"/>
    </row>
    <row r="9146" spans="2:9" ht="15" x14ac:dyDescent="0.25">
      <c r="B9146"/>
      <c r="C9146"/>
      <c r="D9146"/>
      <c r="E9146"/>
      <c r="F9146"/>
      <c r="G9146" s="20"/>
      <c r="H9146"/>
      <c r="I9146"/>
    </row>
    <row r="9147" spans="2:9" ht="15" x14ac:dyDescent="0.25">
      <c r="B9147"/>
      <c r="C9147"/>
      <c r="D9147"/>
      <c r="E9147"/>
      <c r="F9147"/>
      <c r="G9147" s="20"/>
      <c r="H9147"/>
      <c r="I9147"/>
    </row>
    <row r="9148" spans="2:9" ht="15" x14ac:dyDescent="0.25">
      <c r="B9148"/>
      <c r="C9148"/>
      <c r="D9148"/>
      <c r="E9148"/>
      <c r="F9148"/>
      <c r="G9148" s="20"/>
      <c r="H9148"/>
      <c r="I9148"/>
    </row>
    <row r="9149" spans="2:9" ht="15" x14ac:dyDescent="0.25">
      <c r="B9149"/>
      <c r="C9149"/>
      <c r="D9149"/>
      <c r="E9149"/>
      <c r="F9149"/>
      <c r="G9149" s="20"/>
      <c r="H9149"/>
      <c r="I9149"/>
    </row>
    <row r="9150" spans="2:9" ht="15" x14ac:dyDescent="0.25">
      <c r="B9150"/>
      <c r="C9150"/>
      <c r="D9150"/>
      <c r="E9150"/>
      <c r="F9150"/>
      <c r="G9150" s="20"/>
      <c r="H9150"/>
      <c r="I9150"/>
    </row>
    <row r="9151" spans="2:9" ht="15" x14ac:dyDescent="0.25">
      <c r="B9151"/>
      <c r="C9151"/>
      <c r="D9151"/>
      <c r="E9151"/>
      <c r="F9151"/>
      <c r="G9151" s="20"/>
      <c r="H9151"/>
      <c r="I9151"/>
    </row>
    <row r="9152" spans="2:9" ht="15" x14ac:dyDescent="0.25">
      <c r="B9152"/>
      <c r="C9152"/>
      <c r="D9152"/>
      <c r="E9152"/>
      <c r="F9152"/>
      <c r="G9152" s="20"/>
      <c r="H9152"/>
      <c r="I9152"/>
    </row>
    <row r="9153" spans="2:9" ht="15" x14ac:dyDescent="0.25">
      <c r="B9153"/>
      <c r="C9153"/>
      <c r="D9153"/>
      <c r="E9153"/>
      <c r="F9153"/>
      <c r="G9153" s="20"/>
      <c r="H9153"/>
      <c r="I9153"/>
    </row>
    <row r="9154" spans="2:9" ht="15" x14ac:dyDescent="0.25">
      <c r="B9154"/>
      <c r="C9154"/>
      <c r="D9154"/>
      <c r="E9154"/>
      <c r="F9154"/>
      <c r="G9154" s="20"/>
      <c r="H9154"/>
      <c r="I9154"/>
    </row>
    <row r="9155" spans="2:9" ht="15" x14ac:dyDescent="0.25">
      <c r="B9155"/>
      <c r="C9155"/>
      <c r="D9155"/>
      <c r="E9155"/>
      <c r="F9155"/>
      <c r="G9155" s="20"/>
      <c r="H9155"/>
      <c r="I9155"/>
    </row>
    <row r="9156" spans="2:9" ht="15" x14ac:dyDescent="0.25">
      <c r="B9156"/>
      <c r="C9156"/>
      <c r="D9156"/>
      <c r="E9156"/>
      <c r="F9156"/>
      <c r="G9156" s="20"/>
      <c r="H9156"/>
      <c r="I9156"/>
    </row>
    <row r="9157" spans="2:9" ht="15" x14ac:dyDescent="0.25">
      <c r="B9157"/>
      <c r="C9157"/>
      <c r="D9157"/>
      <c r="E9157"/>
      <c r="F9157"/>
      <c r="G9157" s="20"/>
      <c r="H9157"/>
      <c r="I9157"/>
    </row>
    <row r="9158" spans="2:9" ht="15" x14ac:dyDescent="0.25">
      <c r="B9158"/>
      <c r="C9158"/>
      <c r="D9158"/>
      <c r="E9158"/>
      <c r="F9158"/>
      <c r="G9158" s="20"/>
      <c r="H9158"/>
      <c r="I9158"/>
    </row>
    <row r="9159" spans="2:9" ht="15" x14ac:dyDescent="0.25">
      <c r="B9159"/>
      <c r="C9159"/>
      <c r="D9159"/>
      <c r="E9159"/>
      <c r="F9159"/>
      <c r="G9159" s="20"/>
      <c r="H9159"/>
      <c r="I9159"/>
    </row>
    <row r="9160" spans="2:9" ht="15" x14ac:dyDescent="0.25">
      <c r="B9160"/>
      <c r="C9160"/>
      <c r="D9160"/>
      <c r="E9160"/>
      <c r="F9160"/>
      <c r="G9160" s="20"/>
      <c r="H9160"/>
      <c r="I9160"/>
    </row>
    <row r="9161" spans="2:9" ht="15" x14ac:dyDescent="0.25">
      <c r="B9161"/>
      <c r="C9161"/>
      <c r="D9161"/>
      <c r="E9161"/>
      <c r="F9161"/>
      <c r="G9161" s="20"/>
      <c r="H9161"/>
      <c r="I9161"/>
    </row>
    <row r="9162" spans="2:9" ht="15" x14ac:dyDescent="0.25">
      <c r="B9162"/>
      <c r="C9162"/>
      <c r="D9162"/>
      <c r="E9162"/>
      <c r="F9162"/>
      <c r="G9162" s="20"/>
      <c r="H9162"/>
      <c r="I9162"/>
    </row>
    <row r="9163" spans="2:9" ht="15" x14ac:dyDescent="0.25">
      <c r="B9163"/>
      <c r="C9163"/>
      <c r="D9163"/>
      <c r="E9163"/>
      <c r="F9163"/>
      <c r="G9163" s="20"/>
      <c r="H9163"/>
      <c r="I9163"/>
    </row>
    <row r="9164" spans="2:9" ht="15" x14ac:dyDescent="0.25">
      <c r="B9164"/>
      <c r="C9164"/>
      <c r="D9164"/>
      <c r="E9164"/>
      <c r="F9164"/>
      <c r="G9164" s="20"/>
      <c r="H9164"/>
      <c r="I9164"/>
    </row>
    <row r="9165" spans="2:9" ht="15" x14ac:dyDescent="0.25">
      <c r="B9165"/>
      <c r="C9165"/>
      <c r="D9165"/>
      <c r="E9165"/>
      <c r="F9165"/>
      <c r="G9165" s="20"/>
      <c r="H9165"/>
      <c r="I9165"/>
    </row>
    <row r="9166" spans="2:9" ht="15" x14ac:dyDescent="0.25">
      <c r="B9166"/>
      <c r="C9166"/>
      <c r="D9166"/>
      <c r="E9166"/>
      <c r="F9166"/>
      <c r="G9166" s="20"/>
      <c r="H9166"/>
      <c r="I9166"/>
    </row>
    <row r="9167" spans="2:9" ht="15" x14ac:dyDescent="0.25">
      <c r="B9167"/>
      <c r="C9167"/>
      <c r="D9167"/>
      <c r="E9167"/>
      <c r="F9167"/>
      <c r="G9167" s="20"/>
      <c r="H9167"/>
      <c r="I9167"/>
    </row>
    <row r="9168" spans="2:9" ht="15" x14ac:dyDescent="0.25">
      <c r="B9168"/>
      <c r="C9168"/>
      <c r="D9168"/>
      <c r="E9168"/>
      <c r="F9168"/>
      <c r="G9168" s="20"/>
      <c r="H9168"/>
      <c r="I9168"/>
    </row>
    <row r="9169" spans="2:9" ht="15" x14ac:dyDescent="0.25">
      <c r="B9169"/>
      <c r="C9169"/>
      <c r="D9169"/>
      <c r="E9169"/>
      <c r="F9169"/>
      <c r="G9169" s="20"/>
      <c r="H9169"/>
      <c r="I9169"/>
    </row>
    <row r="9170" spans="2:9" ht="15" x14ac:dyDescent="0.25">
      <c r="B9170"/>
      <c r="C9170"/>
      <c r="D9170"/>
      <c r="E9170"/>
      <c r="F9170"/>
      <c r="G9170" s="20"/>
      <c r="H9170"/>
      <c r="I9170"/>
    </row>
    <row r="9171" spans="2:9" ht="15" x14ac:dyDescent="0.25">
      <c r="B9171"/>
      <c r="C9171"/>
      <c r="D9171"/>
      <c r="E9171"/>
      <c r="F9171"/>
      <c r="G9171" s="20"/>
      <c r="H9171"/>
      <c r="I9171"/>
    </row>
    <row r="9172" spans="2:9" ht="15" x14ac:dyDescent="0.25">
      <c r="B9172"/>
      <c r="C9172"/>
      <c r="D9172"/>
      <c r="E9172"/>
      <c r="F9172"/>
      <c r="G9172" s="20"/>
      <c r="H9172"/>
      <c r="I9172"/>
    </row>
    <row r="9173" spans="2:9" ht="15" x14ac:dyDescent="0.25">
      <c r="B9173"/>
      <c r="C9173"/>
      <c r="D9173"/>
      <c r="E9173"/>
      <c r="F9173"/>
      <c r="G9173" s="20"/>
      <c r="H9173"/>
      <c r="I9173"/>
    </row>
    <row r="9174" spans="2:9" ht="15" x14ac:dyDescent="0.25">
      <c r="B9174"/>
      <c r="C9174"/>
      <c r="D9174"/>
      <c r="E9174"/>
      <c r="F9174"/>
      <c r="G9174" s="20"/>
      <c r="H9174"/>
      <c r="I9174"/>
    </row>
    <row r="9175" spans="2:9" ht="15" x14ac:dyDescent="0.25">
      <c r="B9175"/>
      <c r="C9175"/>
      <c r="D9175"/>
      <c r="E9175"/>
      <c r="F9175"/>
      <c r="G9175" s="20"/>
      <c r="H9175"/>
      <c r="I9175"/>
    </row>
    <row r="9176" spans="2:9" ht="15" x14ac:dyDescent="0.25">
      <c r="B9176"/>
      <c r="C9176"/>
      <c r="D9176"/>
      <c r="E9176"/>
      <c r="F9176"/>
      <c r="G9176" s="20"/>
      <c r="H9176"/>
      <c r="I9176"/>
    </row>
    <row r="9177" spans="2:9" ht="15" x14ac:dyDescent="0.25">
      <c r="B9177"/>
      <c r="C9177"/>
      <c r="D9177"/>
      <c r="E9177"/>
      <c r="F9177"/>
      <c r="G9177" s="20"/>
      <c r="H9177"/>
      <c r="I9177"/>
    </row>
    <row r="9178" spans="2:9" ht="15" x14ac:dyDescent="0.25">
      <c r="B9178"/>
      <c r="C9178"/>
      <c r="D9178"/>
      <c r="E9178"/>
      <c r="F9178"/>
      <c r="G9178" s="20"/>
      <c r="H9178"/>
      <c r="I9178"/>
    </row>
    <row r="9179" spans="2:9" ht="15" x14ac:dyDescent="0.25">
      <c r="B9179"/>
      <c r="C9179"/>
      <c r="D9179"/>
      <c r="E9179"/>
      <c r="F9179"/>
      <c r="G9179" s="20"/>
      <c r="H9179"/>
      <c r="I9179"/>
    </row>
    <row r="9180" spans="2:9" ht="15" x14ac:dyDescent="0.25">
      <c r="B9180"/>
      <c r="C9180"/>
      <c r="D9180"/>
      <c r="E9180"/>
      <c r="F9180"/>
      <c r="G9180" s="20"/>
      <c r="H9180"/>
      <c r="I9180"/>
    </row>
    <row r="9181" spans="2:9" ht="15" x14ac:dyDescent="0.25">
      <c r="B9181"/>
      <c r="C9181"/>
      <c r="D9181"/>
      <c r="E9181"/>
      <c r="F9181"/>
      <c r="G9181" s="20"/>
      <c r="H9181"/>
      <c r="I9181"/>
    </row>
    <row r="9182" spans="2:9" ht="15" x14ac:dyDescent="0.25">
      <c r="B9182"/>
      <c r="C9182"/>
      <c r="D9182"/>
      <c r="E9182"/>
      <c r="F9182"/>
      <c r="G9182" s="20"/>
      <c r="H9182"/>
      <c r="I9182"/>
    </row>
    <row r="9183" spans="2:9" ht="15" x14ac:dyDescent="0.25">
      <c r="B9183"/>
      <c r="C9183"/>
      <c r="D9183"/>
      <c r="E9183"/>
      <c r="F9183"/>
      <c r="G9183" s="20"/>
      <c r="H9183"/>
      <c r="I9183"/>
    </row>
    <row r="9184" spans="2:9" ht="15" x14ac:dyDescent="0.25">
      <c r="B9184"/>
      <c r="C9184"/>
      <c r="D9184"/>
      <c r="E9184"/>
      <c r="F9184"/>
      <c r="G9184" s="20"/>
      <c r="H9184"/>
      <c r="I9184"/>
    </row>
    <row r="9185" spans="2:9" ht="15" x14ac:dyDescent="0.25">
      <c r="B9185"/>
      <c r="C9185"/>
      <c r="D9185"/>
      <c r="E9185"/>
      <c r="F9185"/>
      <c r="G9185" s="20"/>
      <c r="H9185"/>
      <c r="I9185"/>
    </row>
    <row r="9186" spans="2:9" ht="15" x14ac:dyDescent="0.25">
      <c r="B9186"/>
      <c r="C9186"/>
      <c r="D9186"/>
      <c r="E9186"/>
      <c r="F9186"/>
      <c r="G9186" s="20"/>
      <c r="H9186"/>
      <c r="I9186"/>
    </row>
    <row r="9187" spans="2:9" ht="15" x14ac:dyDescent="0.25">
      <c r="B9187"/>
      <c r="C9187"/>
      <c r="D9187"/>
      <c r="E9187"/>
      <c r="F9187"/>
      <c r="G9187" s="20"/>
      <c r="H9187"/>
      <c r="I9187"/>
    </row>
    <row r="9188" spans="2:9" ht="15" x14ac:dyDescent="0.25">
      <c r="B9188"/>
      <c r="C9188"/>
      <c r="D9188"/>
      <c r="E9188"/>
      <c r="F9188"/>
      <c r="G9188" s="20"/>
      <c r="H9188"/>
      <c r="I9188"/>
    </row>
    <row r="9189" spans="2:9" ht="15" x14ac:dyDescent="0.25">
      <c r="B9189"/>
      <c r="C9189"/>
      <c r="D9189"/>
      <c r="E9189"/>
      <c r="F9189"/>
      <c r="G9189" s="20"/>
      <c r="H9189"/>
      <c r="I9189"/>
    </row>
    <row r="9190" spans="2:9" ht="15" x14ac:dyDescent="0.25">
      <c r="B9190"/>
      <c r="C9190"/>
      <c r="D9190"/>
      <c r="E9190"/>
      <c r="F9190"/>
      <c r="G9190" s="20"/>
      <c r="H9190"/>
      <c r="I9190"/>
    </row>
    <row r="9191" spans="2:9" ht="15" x14ac:dyDescent="0.25">
      <c r="B9191"/>
      <c r="C9191"/>
      <c r="D9191"/>
      <c r="E9191"/>
      <c r="F9191"/>
      <c r="G9191" s="20"/>
      <c r="H9191"/>
      <c r="I9191"/>
    </row>
    <row r="9192" spans="2:9" ht="15" x14ac:dyDescent="0.25">
      <c r="B9192"/>
      <c r="C9192"/>
      <c r="D9192"/>
      <c r="E9192"/>
      <c r="F9192"/>
      <c r="G9192" s="20"/>
      <c r="H9192"/>
      <c r="I9192"/>
    </row>
    <row r="9193" spans="2:9" ht="15" x14ac:dyDescent="0.25">
      <c r="B9193"/>
      <c r="C9193"/>
      <c r="D9193"/>
      <c r="E9193"/>
      <c r="F9193"/>
      <c r="G9193" s="20"/>
      <c r="H9193"/>
      <c r="I9193"/>
    </row>
    <row r="9194" spans="2:9" ht="15" x14ac:dyDescent="0.25">
      <c r="B9194"/>
      <c r="C9194"/>
      <c r="D9194"/>
      <c r="E9194"/>
      <c r="F9194"/>
      <c r="G9194" s="20"/>
      <c r="H9194"/>
      <c r="I9194"/>
    </row>
    <row r="9195" spans="2:9" ht="15" x14ac:dyDescent="0.25">
      <c r="B9195"/>
      <c r="C9195"/>
      <c r="D9195"/>
      <c r="E9195"/>
      <c r="F9195"/>
      <c r="G9195" s="20"/>
      <c r="H9195"/>
      <c r="I9195"/>
    </row>
    <row r="9196" spans="2:9" ht="15" x14ac:dyDescent="0.25">
      <c r="B9196"/>
      <c r="C9196"/>
      <c r="D9196"/>
      <c r="E9196"/>
      <c r="F9196"/>
      <c r="G9196" s="20"/>
      <c r="H9196"/>
      <c r="I9196"/>
    </row>
    <row r="9197" spans="2:9" ht="15" x14ac:dyDescent="0.25">
      <c r="B9197"/>
      <c r="C9197"/>
      <c r="D9197"/>
      <c r="E9197"/>
      <c r="F9197"/>
      <c r="G9197" s="20"/>
      <c r="H9197"/>
      <c r="I9197"/>
    </row>
    <row r="9198" spans="2:9" ht="15" x14ac:dyDescent="0.25">
      <c r="B9198"/>
      <c r="C9198"/>
      <c r="D9198"/>
      <c r="E9198"/>
      <c r="F9198"/>
      <c r="G9198" s="20"/>
      <c r="H9198"/>
      <c r="I9198"/>
    </row>
    <row r="9199" spans="2:9" ht="15" x14ac:dyDescent="0.25">
      <c r="B9199"/>
      <c r="C9199"/>
      <c r="D9199"/>
      <c r="E9199"/>
      <c r="F9199"/>
      <c r="G9199" s="20"/>
      <c r="H9199"/>
      <c r="I9199"/>
    </row>
    <row r="9200" spans="2:9" ht="15" x14ac:dyDescent="0.25">
      <c r="B9200"/>
      <c r="C9200"/>
      <c r="D9200"/>
      <c r="E9200"/>
      <c r="F9200"/>
      <c r="G9200" s="20"/>
      <c r="H9200"/>
      <c r="I9200"/>
    </row>
    <row r="9201" spans="2:9" ht="15" x14ac:dyDescent="0.25">
      <c r="B9201"/>
      <c r="C9201"/>
      <c r="D9201"/>
      <c r="E9201"/>
      <c r="F9201"/>
      <c r="G9201" s="20"/>
      <c r="H9201"/>
      <c r="I9201"/>
    </row>
    <row r="9202" spans="2:9" ht="15" x14ac:dyDescent="0.25">
      <c r="B9202"/>
      <c r="C9202"/>
      <c r="D9202"/>
      <c r="E9202"/>
      <c r="F9202"/>
      <c r="G9202" s="20"/>
      <c r="H9202"/>
      <c r="I9202"/>
    </row>
    <row r="9203" spans="2:9" ht="15" x14ac:dyDescent="0.25">
      <c r="B9203"/>
      <c r="C9203"/>
      <c r="D9203"/>
      <c r="E9203"/>
      <c r="F9203"/>
      <c r="G9203" s="20"/>
      <c r="H9203"/>
      <c r="I9203"/>
    </row>
    <row r="9204" spans="2:9" ht="15" x14ac:dyDescent="0.25">
      <c r="B9204"/>
      <c r="C9204"/>
      <c r="D9204"/>
      <c r="E9204"/>
      <c r="F9204"/>
      <c r="G9204" s="20"/>
      <c r="H9204"/>
      <c r="I9204"/>
    </row>
    <row r="9205" spans="2:9" ht="15" x14ac:dyDescent="0.25">
      <c r="B9205"/>
      <c r="C9205"/>
      <c r="D9205"/>
      <c r="E9205"/>
      <c r="F9205"/>
      <c r="G9205" s="20"/>
      <c r="H9205"/>
      <c r="I9205"/>
    </row>
    <row r="9206" spans="2:9" ht="15" x14ac:dyDescent="0.25">
      <c r="B9206"/>
      <c r="C9206"/>
      <c r="D9206"/>
      <c r="E9206"/>
      <c r="F9206"/>
      <c r="G9206" s="20"/>
      <c r="H9206"/>
      <c r="I9206"/>
    </row>
    <row r="9207" spans="2:9" ht="15" x14ac:dyDescent="0.25">
      <c r="B9207"/>
      <c r="C9207"/>
      <c r="D9207"/>
      <c r="E9207"/>
      <c r="F9207"/>
      <c r="G9207" s="20"/>
      <c r="H9207"/>
      <c r="I9207"/>
    </row>
    <row r="9208" spans="2:9" ht="15" x14ac:dyDescent="0.25">
      <c r="B9208"/>
      <c r="C9208"/>
      <c r="D9208"/>
      <c r="E9208"/>
      <c r="F9208"/>
      <c r="G9208" s="20"/>
      <c r="H9208"/>
      <c r="I9208"/>
    </row>
    <row r="9209" spans="2:9" ht="15" x14ac:dyDescent="0.25">
      <c r="B9209"/>
      <c r="C9209"/>
      <c r="D9209"/>
      <c r="E9209"/>
      <c r="F9209"/>
      <c r="G9209" s="20"/>
      <c r="H9209"/>
      <c r="I9209"/>
    </row>
    <row r="9210" spans="2:9" ht="15" x14ac:dyDescent="0.25">
      <c r="B9210"/>
      <c r="C9210"/>
      <c r="D9210"/>
      <c r="E9210"/>
      <c r="F9210"/>
      <c r="G9210" s="20"/>
      <c r="H9210"/>
      <c r="I9210"/>
    </row>
    <row r="9211" spans="2:9" ht="15" x14ac:dyDescent="0.25">
      <c r="B9211"/>
      <c r="C9211"/>
      <c r="D9211"/>
      <c r="E9211"/>
      <c r="F9211"/>
      <c r="G9211" s="20"/>
      <c r="H9211"/>
      <c r="I9211"/>
    </row>
    <row r="9212" spans="2:9" ht="15" x14ac:dyDescent="0.25">
      <c r="B9212"/>
      <c r="C9212"/>
      <c r="D9212"/>
      <c r="E9212"/>
      <c r="F9212"/>
      <c r="G9212" s="20"/>
      <c r="H9212"/>
      <c r="I9212"/>
    </row>
    <row r="9213" spans="2:9" ht="15" x14ac:dyDescent="0.25">
      <c r="B9213"/>
      <c r="C9213"/>
      <c r="D9213"/>
      <c r="E9213"/>
      <c r="F9213"/>
      <c r="G9213" s="20"/>
      <c r="H9213"/>
      <c r="I9213"/>
    </row>
    <row r="9214" spans="2:9" ht="15" x14ac:dyDescent="0.25">
      <c r="B9214"/>
      <c r="C9214"/>
      <c r="D9214"/>
      <c r="E9214"/>
      <c r="F9214"/>
      <c r="G9214" s="20"/>
      <c r="H9214"/>
      <c r="I9214"/>
    </row>
    <row r="9215" spans="2:9" ht="15" x14ac:dyDescent="0.25">
      <c r="B9215"/>
      <c r="C9215"/>
      <c r="D9215"/>
      <c r="E9215"/>
      <c r="F9215"/>
      <c r="G9215" s="20"/>
      <c r="H9215"/>
      <c r="I9215"/>
    </row>
    <row r="9216" spans="2:9" ht="15" x14ac:dyDescent="0.25">
      <c r="B9216"/>
      <c r="C9216"/>
      <c r="D9216"/>
      <c r="E9216"/>
      <c r="F9216"/>
      <c r="G9216" s="20"/>
      <c r="H9216"/>
      <c r="I9216"/>
    </row>
    <row r="9217" spans="2:9" ht="15" x14ac:dyDescent="0.25">
      <c r="B9217"/>
      <c r="C9217"/>
      <c r="D9217"/>
      <c r="E9217"/>
      <c r="F9217"/>
      <c r="G9217" s="20"/>
      <c r="H9217"/>
      <c r="I9217"/>
    </row>
    <row r="9218" spans="2:9" ht="15" x14ac:dyDescent="0.25">
      <c r="B9218"/>
      <c r="C9218"/>
      <c r="D9218"/>
      <c r="E9218"/>
      <c r="F9218"/>
      <c r="G9218" s="20"/>
      <c r="H9218"/>
      <c r="I9218"/>
    </row>
    <row r="9219" spans="2:9" ht="15" x14ac:dyDescent="0.25">
      <c r="B9219"/>
      <c r="C9219"/>
      <c r="D9219"/>
      <c r="E9219"/>
      <c r="F9219"/>
      <c r="G9219" s="20"/>
      <c r="H9219"/>
      <c r="I9219"/>
    </row>
    <row r="9220" spans="2:9" ht="15" x14ac:dyDescent="0.25">
      <c r="B9220"/>
      <c r="C9220"/>
      <c r="D9220"/>
      <c r="E9220"/>
      <c r="F9220"/>
      <c r="G9220" s="20"/>
      <c r="H9220"/>
      <c r="I9220"/>
    </row>
    <row r="9221" spans="2:9" ht="15" x14ac:dyDescent="0.25">
      <c r="B9221"/>
      <c r="C9221"/>
      <c r="D9221"/>
      <c r="E9221"/>
      <c r="F9221"/>
      <c r="G9221" s="20"/>
      <c r="H9221"/>
      <c r="I9221"/>
    </row>
    <row r="9222" spans="2:9" ht="15" x14ac:dyDescent="0.25">
      <c r="B9222"/>
      <c r="C9222"/>
      <c r="D9222"/>
      <c r="E9222"/>
      <c r="F9222"/>
      <c r="G9222" s="20"/>
      <c r="H9222"/>
      <c r="I9222"/>
    </row>
    <row r="9223" spans="2:9" ht="15" x14ac:dyDescent="0.25">
      <c r="B9223"/>
      <c r="C9223"/>
      <c r="D9223"/>
      <c r="E9223"/>
      <c r="F9223"/>
      <c r="G9223" s="20"/>
      <c r="H9223"/>
      <c r="I9223"/>
    </row>
    <row r="9224" spans="2:9" ht="15" x14ac:dyDescent="0.25">
      <c r="B9224"/>
      <c r="C9224"/>
      <c r="D9224"/>
      <c r="E9224"/>
      <c r="F9224"/>
      <c r="G9224" s="20"/>
      <c r="H9224"/>
      <c r="I9224"/>
    </row>
    <row r="9225" spans="2:9" ht="15" x14ac:dyDescent="0.25">
      <c r="B9225"/>
      <c r="C9225"/>
      <c r="D9225"/>
      <c r="E9225"/>
      <c r="F9225"/>
      <c r="G9225" s="20"/>
      <c r="H9225"/>
      <c r="I9225"/>
    </row>
    <row r="9226" spans="2:9" ht="15" x14ac:dyDescent="0.25">
      <c r="B9226"/>
      <c r="C9226"/>
      <c r="D9226"/>
      <c r="E9226"/>
      <c r="F9226"/>
      <c r="G9226" s="20"/>
      <c r="H9226"/>
      <c r="I9226"/>
    </row>
    <row r="9227" spans="2:9" ht="15" x14ac:dyDescent="0.25">
      <c r="B9227"/>
      <c r="C9227"/>
      <c r="D9227"/>
      <c r="E9227"/>
      <c r="F9227"/>
      <c r="G9227" s="20"/>
      <c r="H9227"/>
      <c r="I9227"/>
    </row>
    <row r="9228" spans="2:9" ht="15" x14ac:dyDescent="0.25">
      <c r="B9228"/>
      <c r="C9228"/>
      <c r="D9228"/>
      <c r="E9228"/>
      <c r="F9228"/>
      <c r="G9228" s="20"/>
      <c r="H9228"/>
      <c r="I9228"/>
    </row>
    <row r="9229" spans="2:9" ht="15" x14ac:dyDescent="0.25">
      <c r="B9229"/>
      <c r="C9229"/>
      <c r="D9229"/>
      <c r="E9229"/>
      <c r="F9229"/>
      <c r="G9229" s="20"/>
      <c r="H9229"/>
      <c r="I9229"/>
    </row>
    <row r="9230" spans="2:9" ht="15" x14ac:dyDescent="0.25">
      <c r="B9230"/>
      <c r="C9230"/>
      <c r="D9230"/>
      <c r="E9230"/>
      <c r="F9230"/>
      <c r="G9230" s="20"/>
      <c r="H9230"/>
      <c r="I9230"/>
    </row>
    <row r="9231" spans="2:9" ht="15" x14ac:dyDescent="0.25">
      <c r="B9231"/>
      <c r="C9231"/>
      <c r="D9231"/>
      <c r="E9231"/>
      <c r="F9231"/>
      <c r="G9231" s="20"/>
      <c r="H9231"/>
      <c r="I9231"/>
    </row>
    <row r="9232" spans="2:9" ht="15" x14ac:dyDescent="0.25">
      <c r="B9232"/>
      <c r="C9232"/>
      <c r="D9232"/>
      <c r="E9232"/>
      <c r="F9232"/>
      <c r="G9232" s="20"/>
      <c r="H9232"/>
      <c r="I9232"/>
    </row>
    <row r="9233" spans="2:9" ht="15" x14ac:dyDescent="0.25">
      <c r="B9233"/>
      <c r="C9233"/>
      <c r="D9233"/>
      <c r="E9233"/>
      <c r="F9233"/>
      <c r="G9233" s="20"/>
      <c r="H9233"/>
      <c r="I9233"/>
    </row>
    <row r="9234" spans="2:9" ht="15" x14ac:dyDescent="0.25">
      <c r="B9234"/>
      <c r="C9234"/>
      <c r="D9234"/>
      <c r="E9234"/>
      <c r="F9234"/>
      <c r="G9234" s="20"/>
      <c r="H9234"/>
      <c r="I9234"/>
    </row>
    <row r="9235" spans="2:9" ht="15" x14ac:dyDescent="0.25">
      <c r="B9235"/>
      <c r="C9235"/>
      <c r="D9235"/>
      <c r="E9235"/>
      <c r="F9235"/>
      <c r="G9235" s="20"/>
      <c r="H9235"/>
      <c r="I9235"/>
    </row>
    <row r="9236" spans="2:9" ht="15" x14ac:dyDescent="0.25">
      <c r="B9236"/>
      <c r="C9236"/>
      <c r="D9236"/>
      <c r="E9236"/>
      <c r="F9236"/>
      <c r="G9236" s="20"/>
      <c r="H9236"/>
      <c r="I9236"/>
    </row>
    <row r="9237" spans="2:9" ht="15" x14ac:dyDescent="0.25">
      <c r="B9237"/>
      <c r="C9237"/>
      <c r="D9237"/>
      <c r="E9237"/>
      <c r="F9237"/>
      <c r="G9237" s="20"/>
      <c r="H9237"/>
      <c r="I9237"/>
    </row>
    <row r="9238" spans="2:9" ht="15" x14ac:dyDescent="0.25">
      <c r="B9238"/>
      <c r="C9238"/>
      <c r="D9238"/>
      <c r="E9238"/>
      <c r="F9238"/>
      <c r="G9238" s="20"/>
      <c r="H9238"/>
      <c r="I9238"/>
    </row>
    <row r="9239" spans="2:9" ht="15" x14ac:dyDescent="0.25">
      <c r="B9239"/>
      <c r="C9239"/>
      <c r="D9239"/>
      <c r="E9239"/>
      <c r="F9239"/>
      <c r="G9239" s="20"/>
      <c r="H9239"/>
      <c r="I9239"/>
    </row>
    <row r="9240" spans="2:9" ht="15" x14ac:dyDescent="0.25">
      <c r="B9240"/>
      <c r="C9240"/>
      <c r="D9240"/>
      <c r="E9240"/>
      <c r="F9240"/>
      <c r="G9240" s="20"/>
      <c r="H9240"/>
      <c r="I9240"/>
    </row>
    <row r="9241" spans="2:9" ht="15" x14ac:dyDescent="0.25">
      <c r="B9241"/>
      <c r="C9241"/>
      <c r="D9241"/>
      <c r="E9241"/>
      <c r="F9241"/>
      <c r="G9241" s="20"/>
      <c r="H9241"/>
      <c r="I9241"/>
    </row>
    <row r="9242" spans="2:9" ht="15" x14ac:dyDescent="0.25">
      <c r="B9242"/>
      <c r="C9242"/>
      <c r="D9242"/>
      <c r="E9242"/>
      <c r="F9242"/>
      <c r="G9242" s="20"/>
      <c r="H9242"/>
      <c r="I9242"/>
    </row>
    <row r="9243" spans="2:9" ht="15" x14ac:dyDescent="0.25">
      <c r="B9243"/>
      <c r="C9243"/>
      <c r="D9243"/>
      <c r="E9243"/>
      <c r="F9243"/>
      <c r="G9243" s="20"/>
      <c r="H9243"/>
      <c r="I9243"/>
    </row>
    <row r="9244" spans="2:9" ht="15" x14ac:dyDescent="0.25">
      <c r="B9244"/>
      <c r="C9244"/>
      <c r="D9244"/>
      <c r="E9244"/>
      <c r="F9244"/>
      <c r="G9244" s="20"/>
      <c r="H9244"/>
      <c r="I9244"/>
    </row>
    <row r="9245" spans="2:9" ht="15" x14ac:dyDescent="0.25">
      <c r="B9245"/>
      <c r="C9245"/>
      <c r="D9245"/>
      <c r="E9245"/>
      <c r="F9245"/>
      <c r="G9245" s="20"/>
      <c r="H9245"/>
      <c r="I9245"/>
    </row>
    <row r="9246" spans="2:9" ht="15" x14ac:dyDescent="0.25">
      <c r="B9246"/>
      <c r="C9246"/>
      <c r="D9246"/>
      <c r="E9246"/>
      <c r="F9246"/>
      <c r="G9246" s="20"/>
      <c r="H9246"/>
      <c r="I9246"/>
    </row>
    <row r="9247" spans="2:9" ht="15" x14ac:dyDescent="0.25">
      <c r="B9247"/>
      <c r="C9247"/>
      <c r="D9247"/>
      <c r="E9247"/>
      <c r="F9247"/>
      <c r="G9247" s="20"/>
      <c r="H9247"/>
      <c r="I9247"/>
    </row>
    <row r="9248" spans="2:9" ht="15" x14ac:dyDescent="0.25">
      <c r="B9248"/>
      <c r="C9248"/>
      <c r="D9248"/>
      <c r="E9248"/>
      <c r="F9248"/>
      <c r="G9248" s="20"/>
      <c r="H9248"/>
      <c r="I9248"/>
    </row>
    <row r="9249" spans="2:9" ht="15" x14ac:dyDescent="0.25">
      <c r="B9249"/>
      <c r="C9249"/>
      <c r="D9249"/>
      <c r="E9249"/>
      <c r="F9249"/>
      <c r="G9249" s="20"/>
      <c r="H9249"/>
      <c r="I9249"/>
    </row>
    <row r="9250" spans="2:9" ht="15" x14ac:dyDescent="0.25">
      <c r="B9250"/>
      <c r="C9250"/>
      <c r="D9250"/>
      <c r="E9250"/>
      <c r="F9250"/>
      <c r="G9250" s="20"/>
      <c r="H9250"/>
      <c r="I9250"/>
    </row>
    <row r="9251" spans="2:9" ht="15" x14ac:dyDescent="0.25">
      <c r="B9251"/>
      <c r="C9251"/>
      <c r="D9251"/>
      <c r="E9251"/>
      <c r="F9251"/>
      <c r="G9251" s="20"/>
      <c r="H9251"/>
      <c r="I9251"/>
    </row>
    <row r="9252" spans="2:9" ht="15" x14ac:dyDescent="0.25">
      <c r="B9252"/>
      <c r="C9252"/>
      <c r="D9252"/>
      <c r="E9252"/>
      <c r="F9252"/>
      <c r="G9252" s="20"/>
      <c r="H9252"/>
      <c r="I9252"/>
    </row>
    <row r="9253" spans="2:9" ht="15" x14ac:dyDescent="0.25">
      <c r="B9253"/>
      <c r="C9253"/>
      <c r="D9253"/>
      <c r="E9253"/>
      <c r="F9253"/>
      <c r="G9253" s="20"/>
      <c r="H9253"/>
      <c r="I9253"/>
    </row>
    <row r="9254" spans="2:9" ht="15" x14ac:dyDescent="0.25">
      <c r="B9254"/>
      <c r="C9254"/>
      <c r="D9254"/>
      <c r="E9254"/>
      <c r="F9254"/>
      <c r="G9254" s="20"/>
      <c r="H9254"/>
      <c r="I9254"/>
    </row>
    <row r="9255" spans="2:9" ht="15" x14ac:dyDescent="0.25">
      <c r="B9255"/>
      <c r="C9255"/>
      <c r="D9255"/>
      <c r="E9255"/>
      <c r="F9255"/>
      <c r="G9255" s="20"/>
      <c r="H9255"/>
      <c r="I9255"/>
    </row>
    <row r="9256" spans="2:9" ht="15" x14ac:dyDescent="0.25">
      <c r="B9256"/>
      <c r="C9256"/>
      <c r="D9256"/>
      <c r="E9256"/>
      <c r="F9256"/>
      <c r="G9256" s="20"/>
      <c r="H9256"/>
      <c r="I9256"/>
    </row>
    <row r="9257" spans="2:9" ht="15" x14ac:dyDescent="0.25">
      <c r="B9257"/>
      <c r="C9257"/>
      <c r="D9257"/>
      <c r="E9257"/>
      <c r="F9257"/>
      <c r="G9257" s="20"/>
      <c r="H9257"/>
      <c r="I9257"/>
    </row>
    <row r="9258" spans="2:9" ht="15" x14ac:dyDescent="0.25">
      <c r="B9258"/>
      <c r="C9258"/>
      <c r="D9258"/>
      <c r="E9258"/>
      <c r="F9258"/>
      <c r="G9258" s="20"/>
      <c r="H9258"/>
      <c r="I9258"/>
    </row>
    <row r="9259" spans="2:9" ht="15" x14ac:dyDescent="0.25">
      <c r="B9259"/>
      <c r="C9259"/>
      <c r="D9259"/>
      <c r="E9259"/>
      <c r="F9259"/>
      <c r="G9259" s="20"/>
      <c r="H9259"/>
      <c r="I9259"/>
    </row>
    <row r="9260" spans="2:9" ht="15" x14ac:dyDescent="0.25">
      <c r="B9260"/>
      <c r="C9260"/>
      <c r="D9260"/>
      <c r="E9260"/>
      <c r="F9260"/>
      <c r="G9260" s="20"/>
      <c r="H9260"/>
      <c r="I9260"/>
    </row>
    <row r="9261" spans="2:9" ht="15" x14ac:dyDescent="0.25">
      <c r="B9261"/>
      <c r="C9261"/>
      <c r="D9261"/>
      <c r="E9261"/>
      <c r="F9261"/>
      <c r="G9261" s="20"/>
      <c r="H9261"/>
      <c r="I9261"/>
    </row>
    <row r="9262" spans="2:9" ht="15" x14ac:dyDescent="0.25">
      <c r="B9262"/>
      <c r="C9262"/>
      <c r="D9262"/>
      <c r="E9262"/>
      <c r="F9262"/>
      <c r="G9262" s="20"/>
      <c r="H9262"/>
      <c r="I9262"/>
    </row>
    <row r="9263" spans="2:9" ht="15" x14ac:dyDescent="0.25">
      <c r="B9263"/>
      <c r="C9263"/>
      <c r="D9263"/>
      <c r="E9263"/>
      <c r="F9263"/>
      <c r="G9263" s="20"/>
      <c r="H9263"/>
      <c r="I9263"/>
    </row>
    <row r="9264" spans="2:9" ht="15" x14ac:dyDescent="0.25">
      <c r="B9264"/>
      <c r="C9264"/>
      <c r="D9264"/>
      <c r="E9264"/>
      <c r="F9264"/>
      <c r="G9264" s="20"/>
      <c r="H9264"/>
      <c r="I9264"/>
    </row>
    <row r="9265" spans="2:9" ht="15" x14ac:dyDescent="0.25">
      <c r="B9265"/>
      <c r="C9265"/>
      <c r="D9265"/>
      <c r="E9265"/>
      <c r="F9265"/>
      <c r="G9265" s="20"/>
      <c r="H9265"/>
      <c r="I9265"/>
    </row>
    <row r="9266" spans="2:9" ht="15" x14ac:dyDescent="0.25">
      <c r="B9266"/>
      <c r="C9266"/>
      <c r="D9266"/>
      <c r="E9266"/>
      <c r="F9266"/>
      <c r="G9266" s="20"/>
      <c r="H9266"/>
      <c r="I9266"/>
    </row>
    <row r="9267" spans="2:9" ht="15" x14ac:dyDescent="0.25">
      <c r="B9267"/>
      <c r="C9267"/>
      <c r="D9267"/>
      <c r="E9267"/>
      <c r="F9267"/>
      <c r="G9267" s="20"/>
      <c r="H9267"/>
      <c r="I9267"/>
    </row>
    <row r="9268" spans="2:9" ht="15" x14ac:dyDescent="0.25">
      <c r="B9268"/>
      <c r="C9268"/>
      <c r="D9268"/>
      <c r="E9268"/>
      <c r="F9268"/>
      <c r="G9268" s="20"/>
      <c r="H9268"/>
      <c r="I9268"/>
    </row>
    <row r="9269" spans="2:9" ht="15" x14ac:dyDescent="0.25">
      <c r="B9269"/>
      <c r="C9269"/>
      <c r="D9269"/>
      <c r="E9269"/>
      <c r="F9269"/>
      <c r="G9269" s="20"/>
      <c r="H9269"/>
      <c r="I9269"/>
    </row>
    <row r="9270" spans="2:9" ht="15" x14ac:dyDescent="0.25">
      <c r="B9270"/>
      <c r="C9270"/>
      <c r="D9270"/>
      <c r="E9270"/>
      <c r="F9270"/>
      <c r="G9270" s="20"/>
      <c r="H9270"/>
      <c r="I9270"/>
    </row>
    <row r="9271" spans="2:9" ht="15" x14ac:dyDescent="0.25">
      <c r="B9271"/>
      <c r="C9271"/>
      <c r="D9271"/>
      <c r="E9271"/>
      <c r="F9271"/>
      <c r="G9271" s="20"/>
      <c r="H9271"/>
      <c r="I9271"/>
    </row>
    <row r="9272" spans="2:9" ht="15" x14ac:dyDescent="0.25">
      <c r="B9272"/>
      <c r="C9272"/>
      <c r="D9272"/>
      <c r="E9272"/>
      <c r="F9272"/>
      <c r="G9272" s="20"/>
      <c r="H9272"/>
      <c r="I9272"/>
    </row>
    <row r="9273" spans="2:9" ht="15" x14ac:dyDescent="0.25">
      <c r="B9273"/>
      <c r="C9273"/>
      <c r="D9273"/>
      <c r="E9273"/>
      <c r="F9273"/>
      <c r="G9273" s="20"/>
      <c r="H9273"/>
      <c r="I9273"/>
    </row>
    <row r="9274" spans="2:9" ht="15" x14ac:dyDescent="0.25">
      <c r="B9274"/>
      <c r="C9274"/>
      <c r="D9274"/>
      <c r="E9274"/>
      <c r="F9274"/>
      <c r="G9274" s="20"/>
      <c r="H9274"/>
      <c r="I9274"/>
    </row>
    <row r="9275" spans="2:9" ht="15" x14ac:dyDescent="0.25">
      <c r="B9275"/>
      <c r="C9275"/>
      <c r="D9275"/>
      <c r="E9275"/>
      <c r="F9275"/>
      <c r="G9275" s="20"/>
      <c r="H9275"/>
      <c r="I9275"/>
    </row>
    <row r="9276" spans="2:9" ht="15" x14ac:dyDescent="0.25">
      <c r="B9276"/>
      <c r="C9276"/>
      <c r="D9276"/>
      <c r="E9276"/>
      <c r="F9276"/>
      <c r="G9276" s="20"/>
      <c r="H9276"/>
      <c r="I9276"/>
    </row>
    <row r="9277" spans="2:9" ht="15" x14ac:dyDescent="0.25">
      <c r="B9277"/>
      <c r="C9277"/>
      <c r="D9277"/>
      <c r="E9277"/>
      <c r="F9277"/>
      <c r="G9277" s="20"/>
      <c r="H9277"/>
      <c r="I9277"/>
    </row>
    <row r="9278" spans="2:9" ht="15" x14ac:dyDescent="0.25">
      <c r="B9278"/>
      <c r="C9278"/>
      <c r="D9278"/>
      <c r="E9278"/>
      <c r="F9278"/>
      <c r="G9278" s="20"/>
      <c r="H9278"/>
      <c r="I9278"/>
    </row>
    <row r="9279" spans="2:9" ht="15" x14ac:dyDescent="0.25">
      <c r="B9279"/>
      <c r="C9279"/>
      <c r="D9279"/>
      <c r="E9279"/>
      <c r="F9279"/>
      <c r="G9279" s="20"/>
      <c r="H9279"/>
      <c r="I9279"/>
    </row>
    <row r="9280" spans="2:9" ht="15" x14ac:dyDescent="0.25">
      <c r="B9280"/>
      <c r="C9280"/>
      <c r="D9280"/>
      <c r="E9280"/>
      <c r="F9280"/>
      <c r="G9280" s="20"/>
      <c r="H9280"/>
      <c r="I9280"/>
    </row>
    <row r="9281" spans="2:9" ht="15" x14ac:dyDescent="0.25">
      <c r="B9281"/>
      <c r="C9281"/>
      <c r="D9281"/>
      <c r="E9281"/>
      <c r="F9281"/>
      <c r="G9281" s="20"/>
      <c r="H9281"/>
      <c r="I9281"/>
    </row>
    <row r="9282" spans="2:9" ht="15" x14ac:dyDescent="0.25">
      <c r="B9282"/>
      <c r="C9282"/>
      <c r="D9282"/>
      <c r="E9282"/>
      <c r="F9282"/>
      <c r="G9282" s="20"/>
      <c r="H9282"/>
      <c r="I9282"/>
    </row>
    <row r="9283" spans="2:9" ht="15" x14ac:dyDescent="0.25">
      <c r="B9283"/>
      <c r="C9283"/>
      <c r="D9283"/>
      <c r="E9283"/>
      <c r="F9283"/>
      <c r="G9283" s="20"/>
      <c r="H9283"/>
      <c r="I9283"/>
    </row>
    <row r="9284" spans="2:9" ht="15" x14ac:dyDescent="0.25">
      <c r="B9284"/>
      <c r="C9284"/>
      <c r="D9284"/>
      <c r="E9284"/>
      <c r="F9284"/>
      <c r="G9284" s="20"/>
      <c r="H9284"/>
      <c r="I9284"/>
    </row>
    <row r="9285" spans="2:9" ht="15" x14ac:dyDescent="0.25">
      <c r="B9285"/>
      <c r="C9285"/>
      <c r="D9285"/>
      <c r="E9285"/>
      <c r="F9285"/>
      <c r="G9285" s="20"/>
      <c r="H9285"/>
      <c r="I9285"/>
    </row>
    <row r="9286" spans="2:9" ht="15" x14ac:dyDescent="0.25">
      <c r="B9286"/>
      <c r="C9286"/>
      <c r="D9286"/>
      <c r="E9286"/>
      <c r="F9286"/>
      <c r="G9286" s="20"/>
      <c r="H9286"/>
      <c r="I9286"/>
    </row>
    <row r="9287" spans="2:9" ht="15" x14ac:dyDescent="0.25">
      <c r="B9287"/>
      <c r="C9287"/>
      <c r="D9287"/>
      <c r="E9287"/>
      <c r="F9287"/>
      <c r="G9287" s="20"/>
      <c r="H9287"/>
      <c r="I9287"/>
    </row>
    <row r="9288" spans="2:9" ht="15" x14ac:dyDescent="0.25">
      <c r="B9288"/>
      <c r="C9288"/>
      <c r="D9288"/>
      <c r="E9288"/>
      <c r="F9288"/>
      <c r="G9288" s="20"/>
      <c r="H9288"/>
      <c r="I9288"/>
    </row>
    <row r="9289" spans="2:9" ht="15" x14ac:dyDescent="0.25">
      <c r="B9289"/>
      <c r="C9289"/>
      <c r="D9289"/>
      <c r="E9289"/>
      <c r="F9289"/>
      <c r="G9289" s="20"/>
      <c r="H9289"/>
      <c r="I9289"/>
    </row>
    <row r="9290" spans="2:9" ht="15" x14ac:dyDescent="0.25">
      <c r="B9290"/>
      <c r="C9290"/>
      <c r="D9290"/>
      <c r="E9290"/>
      <c r="F9290"/>
      <c r="G9290" s="20"/>
      <c r="H9290"/>
      <c r="I9290"/>
    </row>
    <row r="9291" spans="2:9" ht="15" x14ac:dyDescent="0.25">
      <c r="B9291"/>
      <c r="C9291"/>
      <c r="D9291"/>
      <c r="E9291"/>
      <c r="F9291"/>
      <c r="G9291" s="20"/>
      <c r="H9291"/>
      <c r="I9291"/>
    </row>
    <row r="9292" spans="2:9" ht="15" x14ac:dyDescent="0.25">
      <c r="B9292"/>
      <c r="C9292"/>
      <c r="D9292"/>
      <c r="E9292"/>
      <c r="F9292"/>
      <c r="G9292" s="20"/>
      <c r="H9292"/>
      <c r="I9292"/>
    </row>
    <row r="9293" spans="2:9" ht="15" x14ac:dyDescent="0.25">
      <c r="B9293"/>
      <c r="C9293"/>
      <c r="D9293"/>
      <c r="E9293"/>
      <c r="F9293"/>
      <c r="G9293" s="20"/>
      <c r="H9293"/>
      <c r="I9293"/>
    </row>
    <row r="9294" spans="2:9" ht="15" x14ac:dyDescent="0.25">
      <c r="B9294"/>
      <c r="C9294"/>
      <c r="D9294"/>
      <c r="E9294"/>
      <c r="F9294"/>
      <c r="G9294" s="20"/>
      <c r="H9294"/>
      <c r="I9294"/>
    </row>
    <row r="9295" spans="2:9" ht="15" x14ac:dyDescent="0.25">
      <c r="B9295"/>
      <c r="C9295"/>
      <c r="D9295"/>
      <c r="E9295"/>
      <c r="F9295"/>
      <c r="G9295" s="20"/>
      <c r="H9295"/>
      <c r="I9295"/>
    </row>
    <row r="9296" spans="2:9" ht="15" x14ac:dyDescent="0.25">
      <c r="B9296"/>
      <c r="C9296"/>
      <c r="D9296"/>
      <c r="E9296"/>
      <c r="F9296"/>
      <c r="G9296" s="20"/>
      <c r="H9296"/>
      <c r="I9296"/>
    </row>
    <row r="9297" spans="2:9" ht="15" x14ac:dyDescent="0.25">
      <c r="B9297"/>
      <c r="C9297"/>
      <c r="D9297"/>
      <c r="E9297"/>
      <c r="F9297"/>
      <c r="G9297" s="20"/>
      <c r="H9297"/>
      <c r="I9297"/>
    </row>
    <row r="9298" spans="2:9" ht="15" x14ac:dyDescent="0.25">
      <c r="B9298"/>
      <c r="C9298"/>
      <c r="D9298"/>
      <c r="E9298"/>
      <c r="F9298"/>
      <c r="G9298" s="20"/>
      <c r="H9298"/>
      <c r="I9298"/>
    </row>
    <row r="9299" spans="2:9" ht="15" x14ac:dyDescent="0.25">
      <c r="B9299"/>
      <c r="C9299"/>
      <c r="D9299"/>
      <c r="E9299"/>
      <c r="F9299"/>
      <c r="G9299" s="20"/>
      <c r="H9299"/>
      <c r="I9299"/>
    </row>
    <row r="9300" spans="2:9" ht="15" x14ac:dyDescent="0.25">
      <c r="B9300"/>
      <c r="C9300"/>
      <c r="D9300"/>
      <c r="E9300"/>
      <c r="F9300"/>
      <c r="G9300" s="20"/>
      <c r="H9300"/>
      <c r="I9300"/>
    </row>
    <row r="9301" spans="2:9" ht="15" x14ac:dyDescent="0.25">
      <c r="B9301"/>
      <c r="C9301"/>
      <c r="D9301"/>
      <c r="E9301"/>
      <c r="F9301"/>
      <c r="G9301" s="20"/>
      <c r="H9301"/>
      <c r="I9301"/>
    </row>
    <row r="9302" spans="2:9" ht="15" x14ac:dyDescent="0.25">
      <c r="B9302"/>
      <c r="C9302"/>
      <c r="D9302"/>
      <c r="E9302"/>
      <c r="F9302"/>
      <c r="G9302" s="20"/>
      <c r="H9302"/>
      <c r="I9302"/>
    </row>
    <row r="9303" spans="2:9" ht="15" x14ac:dyDescent="0.25">
      <c r="B9303"/>
      <c r="C9303"/>
      <c r="D9303"/>
      <c r="E9303"/>
      <c r="F9303"/>
      <c r="G9303" s="20"/>
      <c r="H9303"/>
      <c r="I9303"/>
    </row>
    <row r="9304" spans="2:9" ht="15" x14ac:dyDescent="0.25">
      <c r="B9304"/>
      <c r="C9304"/>
      <c r="D9304"/>
      <c r="E9304"/>
      <c r="F9304"/>
      <c r="G9304" s="20"/>
      <c r="H9304"/>
      <c r="I9304"/>
    </row>
    <row r="9305" spans="2:9" ht="15" x14ac:dyDescent="0.25">
      <c r="B9305"/>
      <c r="C9305"/>
      <c r="D9305"/>
      <c r="E9305"/>
      <c r="F9305"/>
      <c r="G9305" s="20"/>
      <c r="H9305"/>
      <c r="I9305"/>
    </row>
    <row r="9306" spans="2:9" ht="15" x14ac:dyDescent="0.25">
      <c r="B9306"/>
      <c r="C9306"/>
      <c r="D9306"/>
      <c r="E9306"/>
      <c r="F9306"/>
      <c r="G9306" s="20"/>
      <c r="H9306"/>
      <c r="I9306"/>
    </row>
    <row r="9307" spans="2:9" ht="15" x14ac:dyDescent="0.25">
      <c r="B9307"/>
      <c r="C9307"/>
      <c r="D9307"/>
      <c r="E9307"/>
      <c r="F9307"/>
      <c r="G9307" s="20"/>
      <c r="H9307"/>
      <c r="I9307"/>
    </row>
    <row r="9308" spans="2:9" ht="15" x14ac:dyDescent="0.25">
      <c r="B9308"/>
      <c r="C9308"/>
      <c r="D9308"/>
      <c r="E9308"/>
      <c r="F9308"/>
      <c r="G9308" s="20"/>
      <c r="H9308"/>
      <c r="I9308"/>
    </row>
    <row r="9309" spans="2:9" ht="15" x14ac:dyDescent="0.25">
      <c r="B9309"/>
      <c r="C9309"/>
      <c r="D9309"/>
      <c r="E9309"/>
      <c r="F9309"/>
      <c r="G9309" s="20"/>
      <c r="H9309"/>
      <c r="I9309"/>
    </row>
    <row r="9310" spans="2:9" ht="15" x14ac:dyDescent="0.25">
      <c r="B9310"/>
      <c r="C9310"/>
      <c r="D9310"/>
      <c r="E9310"/>
      <c r="F9310"/>
      <c r="G9310" s="20"/>
      <c r="H9310"/>
      <c r="I9310"/>
    </row>
    <row r="9311" spans="2:9" ht="15" x14ac:dyDescent="0.25">
      <c r="B9311"/>
      <c r="C9311"/>
      <c r="D9311"/>
      <c r="E9311"/>
      <c r="F9311"/>
      <c r="G9311" s="20"/>
      <c r="H9311"/>
      <c r="I9311"/>
    </row>
    <row r="9312" spans="2:9" ht="15" x14ac:dyDescent="0.25">
      <c r="B9312"/>
      <c r="C9312"/>
      <c r="D9312"/>
      <c r="E9312"/>
      <c r="F9312"/>
      <c r="G9312" s="20"/>
      <c r="H9312"/>
      <c r="I9312"/>
    </row>
    <row r="9313" spans="2:9" ht="15" x14ac:dyDescent="0.25">
      <c r="B9313"/>
      <c r="C9313"/>
      <c r="D9313"/>
      <c r="E9313"/>
      <c r="F9313"/>
      <c r="G9313" s="20"/>
      <c r="H9313"/>
      <c r="I9313"/>
    </row>
    <row r="9314" spans="2:9" ht="15" x14ac:dyDescent="0.25">
      <c r="B9314"/>
      <c r="C9314"/>
      <c r="D9314"/>
      <c r="E9314"/>
      <c r="F9314"/>
      <c r="G9314" s="20"/>
      <c r="H9314"/>
      <c r="I9314"/>
    </row>
    <row r="9315" spans="2:9" ht="15" x14ac:dyDescent="0.25">
      <c r="B9315"/>
      <c r="C9315"/>
      <c r="D9315"/>
      <c r="E9315"/>
      <c r="F9315"/>
      <c r="G9315" s="20"/>
      <c r="H9315"/>
      <c r="I9315"/>
    </row>
    <row r="9316" spans="2:9" ht="15" x14ac:dyDescent="0.25">
      <c r="B9316"/>
      <c r="C9316"/>
      <c r="D9316"/>
      <c r="E9316"/>
      <c r="F9316"/>
      <c r="G9316" s="20"/>
      <c r="H9316"/>
      <c r="I9316"/>
    </row>
    <row r="9317" spans="2:9" ht="15" x14ac:dyDescent="0.25">
      <c r="B9317"/>
      <c r="C9317"/>
      <c r="D9317"/>
      <c r="E9317"/>
      <c r="F9317"/>
      <c r="G9317" s="20"/>
      <c r="H9317"/>
      <c r="I9317"/>
    </row>
    <row r="9318" spans="2:9" ht="15" x14ac:dyDescent="0.25">
      <c r="B9318"/>
      <c r="C9318"/>
      <c r="D9318"/>
      <c r="E9318"/>
      <c r="F9318"/>
      <c r="G9318" s="20"/>
      <c r="H9318"/>
      <c r="I9318"/>
    </row>
    <row r="9319" spans="2:9" ht="15" x14ac:dyDescent="0.25">
      <c r="B9319"/>
      <c r="C9319"/>
      <c r="D9319"/>
      <c r="E9319"/>
      <c r="F9319"/>
      <c r="G9319" s="20"/>
      <c r="H9319"/>
      <c r="I9319"/>
    </row>
    <row r="9320" spans="2:9" ht="15" x14ac:dyDescent="0.25">
      <c r="B9320"/>
      <c r="C9320"/>
      <c r="D9320"/>
      <c r="E9320"/>
      <c r="F9320"/>
      <c r="G9320" s="20"/>
      <c r="H9320"/>
      <c r="I9320"/>
    </row>
    <row r="9321" spans="2:9" ht="15" x14ac:dyDescent="0.25">
      <c r="B9321"/>
      <c r="C9321"/>
      <c r="D9321"/>
      <c r="E9321"/>
      <c r="F9321"/>
      <c r="G9321" s="20"/>
      <c r="H9321"/>
      <c r="I9321"/>
    </row>
    <row r="9322" spans="2:9" ht="15" x14ac:dyDescent="0.25">
      <c r="B9322"/>
      <c r="C9322"/>
      <c r="D9322"/>
      <c r="E9322"/>
      <c r="F9322"/>
      <c r="G9322" s="20"/>
      <c r="H9322"/>
      <c r="I9322"/>
    </row>
    <row r="9323" spans="2:9" ht="15" x14ac:dyDescent="0.25">
      <c r="B9323"/>
      <c r="C9323"/>
      <c r="D9323"/>
      <c r="E9323"/>
      <c r="F9323"/>
      <c r="G9323" s="20"/>
      <c r="H9323"/>
      <c r="I9323"/>
    </row>
    <row r="9324" spans="2:9" ht="15" x14ac:dyDescent="0.25">
      <c r="B9324"/>
      <c r="C9324"/>
      <c r="D9324"/>
      <c r="E9324"/>
      <c r="F9324"/>
      <c r="G9324" s="20"/>
      <c r="H9324"/>
      <c r="I9324"/>
    </row>
    <row r="9325" spans="2:9" ht="15" x14ac:dyDescent="0.25">
      <c r="B9325"/>
      <c r="C9325"/>
      <c r="D9325"/>
      <c r="E9325"/>
      <c r="F9325"/>
      <c r="G9325" s="20"/>
      <c r="H9325"/>
      <c r="I9325"/>
    </row>
    <row r="9326" spans="2:9" ht="15" x14ac:dyDescent="0.25">
      <c r="B9326"/>
      <c r="C9326"/>
      <c r="D9326"/>
      <c r="E9326"/>
      <c r="F9326"/>
      <c r="G9326" s="20"/>
      <c r="H9326"/>
      <c r="I9326"/>
    </row>
    <row r="9327" spans="2:9" ht="15" x14ac:dyDescent="0.25">
      <c r="B9327"/>
      <c r="C9327"/>
      <c r="D9327"/>
      <c r="E9327"/>
      <c r="F9327"/>
      <c r="G9327" s="20"/>
      <c r="H9327"/>
      <c r="I9327"/>
    </row>
    <row r="9328" spans="2:9" ht="15" x14ac:dyDescent="0.25">
      <c r="B9328"/>
      <c r="C9328"/>
      <c r="D9328"/>
      <c r="E9328"/>
      <c r="F9328"/>
      <c r="G9328" s="20"/>
      <c r="H9328"/>
      <c r="I9328"/>
    </row>
    <row r="9329" spans="2:9" ht="15" x14ac:dyDescent="0.25">
      <c r="B9329"/>
      <c r="C9329"/>
      <c r="D9329"/>
      <c r="E9329"/>
      <c r="F9329"/>
      <c r="G9329" s="20"/>
      <c r="H9329"/>
      <c r="I9329"/>
    </row>
    <row r="9330" spans="2:9" ht="15" x14ac:dyDescent="0.25">
      <c r="B9330"/>
      <c r="C9330"/>
      <c r="D9330"/>
      <c r="E9330"/>
      <c r="F9330"/>
      <c r="G9330" s="20"/>
      <c r="H9330"/>
      <c r="I9330"/>
    </row>
    <row r="9331" spans="2:9" ht="15" x14ac:dyDescent="0.25">
      <c r="B9331"/>
      <c r="C9331"/>
      <c r="D9331"/>
      <c r="E9331"/>
      <c r="F9331"/>
      <c r="G9331" s="20"/>
      <c r="H9331"/>
      <c r="I9331"/>
    </row>
    <row r="9332" spans="2:9" ht="15" x14ac:dyDescent="0.25">
      <c r="B9332"/>
      <c r="C9332"/>
      <c r="D9332"/>
      <c r="E9332"/>
      <c r="F9332"/>
      <c r="G9332" s="20"/>
      <c r="H9332"/>
      <c r="I9332"/>
    </row>
    <row r="9333" spans="2:9" ht="15" x14ac:dyDescent="0.25">
      <c r="B9333"/>
      <c r="C9333"/>
      <c r="D9333"/>
      <c r="E9333"/>
      <c r="F9333"/>
      <c r="G9333" s="20"/>
      <c r="H9333"/>
      <c r="I9333"/>
    </row>
    <row r="9334" spans="2:9" ht="15" x14ac:dyDescent="0.25">
      <c r="B9334"/>
      <c r="C9334"/>
      <c r="D9334"/>
      <c r="E9334"/>
      <c r="F9334"/>
      <c r="G9334" s="20"/>
      <c r="H9334"/>
      <c r="I9334"/>
    </row>
    <row r="9335" spans="2:9" ht="15" x14ac:dyDescent="0.25">
      <c r="B9335"/>
      <c r="C9335"/>
      <c r="D9335"/>
      <c r="E9335"/>
      <c r="F9335"/>
      <c r="G9335" s="20"/>
      <c r="H9335"/>
      <c r="I9335"/>
    </row>
    <row r="9336" spans="2:9" ht="15" x14ac:dyDescent="0.25">
      <c r="B9336"/>
      <c r="C9336"/>
      <c r="D9336"/>
      <c r="E9336"/>
      <c r="F9336"/>
      <c r="G9336" s="20"/>
      <c r="H9336"/>
      <c r="I9336"/>
    </row>
    <row r="9337" spans="2:9" ht="15" x14ac:dyDescent="0.25">
      <c r="B9337"/>
      <c r="C9337"/>
      <c r="D9337"/>
      <c r="E9337"/>
      <c r="F9337"/>
      <c r="G9337" s="20"/>
      <c r="H9337"/>
      <c r="I9337"/>
    </row>
    <row r="9338" spans="2:9" ht="15" x14ac:dyDescent="0.25">
      <c r="B9338"/>
      <c r="C9338"/>
      <c r="D9338"/>
      <c r="E9338"/>
      <c r="F9338"/>
      <c r="G9338" s="20"/>
      <c r="H9338"/>
      <c r="I9338"/>
    </row>
    <row r="9339" spans="2:9" ht="15" x14ac:dyDescent="0.25">
      <c r="B9339"/>
      <c r="C9339"/>
      <c r="D9339"/>
      <c r="E9339"/>
      <c r="F9339"/>
      <c r="G9339" s="20"/>
      <c r="H9339"/>
      <c r="I9339"/>
    </row>
    <row r="9340" spans="2:9" ht="15" x14ac:dyDescent="0.25">
      <c r="B9340"/>
      <c r="C9340"/>
      <c r="D9340"/>
      <c r="E9340"/>
      <c r="F9340"/>
      <c r="G9340" s="20"/>
      <c r="H9340"/>
      <c r="I9340"/>
    </row>
    <row r="9341" spans="2:9" ht="15" x14ac:dyDescent="0.25">
      <c r="B9341"/>
      <c r="C9341"/>
      <c r="D9341"/>
      <c r="E9341"/>
      <c r="F9341"/>
      <c r="G9341" s="20"/>
      <c r="H9341"/>
      <c r="I9341"/>
    </row>
    <row r="9342" spans="2:9" ht="15" x14ac:dyDescent="0.25">
      <c r="B9342"/>
      <c r="C9342"/>
      <c r="D9342"/>
      <c r="E9342"/>
      <c r="F9342"/>
      <c r="G9342" s="20"/>
      <c r="H9342"/>
      <c r="I9342"/>
    </row>
    <row r="9343" spans="2:9" ht="15" x14ac:dyDescent="0.25">
      <c r="B9343"/>
      <c r="C9343"/>
      <c r="D9343"/>
      <c r="E9343"/>
      <c r="F9343"/>
      <c r="G9343" s="20"/>
      <c r="H9343"/>
      <c r="I9343"/>
    </row>
    <row r="9344" spans="2:9" ht="15" x14ac:dyDescent="0.25">
      <c r="B9344"/>
      <c r="C9344"/>
      <c r="D9344"/>
      <c r="E9344"/>
      <c r="F9344"/>
      <c r="G9344" s="20"/>
      <c r="H9344"/>
      <c r="I9344"/>
    </row>
    <row r="9345" spans="2:9" ht="15" x14ac:dyDescent="0.25">
      <c r="B9345"/>
      <c r="C9345"/>
      <c r="D9345"/>
      <c r="E9345"/>
      <c r="F9345"/>
      <c r="G9345" s="20"/>
      <c r="H9345"/>
      <c r="I9345"/>
    </row>
    <row r="9346" spans="2:9" ht="15" x14ac:dyDescent="0.25">
      <c r="B9346"/>
      <c r="C9346"/>
      <c r="D9346"/>
      <c r="E9346"/>
      <c r="F9346"/>
      <c r="G9346" s="20"/>
      <c r="H9346"/>
      <c r="I9346"/>
    </row>
    <row r="9347" spans="2:9" ht="15" x14ac:dyDescent="0.25">
      <c r="B9347"/>
      <c r="C9347"/>
      <c r="D9347"/>
      <c r="E9347"/>
      <c r="F9347"/>
      <c r="G9347" s="20"/>
      <c r="H9347"/>
      <c r="I9347"/>
    </row>
    <row r="9348" spans="2:9" ht="15" x14ac:dyDescent="0.25">
      <c r="B9348"/>
      <c r="C9348"/>
      <c r="D9348"/>
      <c r="E9348"/>
      <c r="F9348"/>
      <c r="G9348" s="20"/>
      <c r="H9348"/>
      <c r="I9348"/>
    </row>
    <row r="9349" spans="2:9" ht="15" x14ac:dyDescent="0.25">
      <c r="B9349"/>
      <c r="C9349"/>
      <c r="D9349"/>
      <c r="E9349"/>
      <c r="F9349"/>
      <c r="G9349" s="20"/>
      <c r="H9349"/>
      <c r="I9349"/>
    </row>
    <row r="9350" spans="2:9" ht="15" x14ac:dyDescent="0.25">
      <c r="B9350"/>
      <c r="C9350"/>
      <c r="D9350"/>
      <c r="E9350"/>
      <c r="F9350"/>
      <c r="G9350" s="20"/>
      <c r="H9350"/>
      <c r="I9350"/>
    </row>
    <row r="9351" spans="2:9" ht="15" x14ac:dyDescent="0.25">
      <c r="B9351"/>
      <c r="C9351"/>
      <c r="D9351"/>
      <c r="E9351"/>
      <c r="F9351"/>
      <c r="G9351" s="20"/>
      <c r="H9351"/>
      <c r="I9351"/>
    </row>
    <row r="9352" spans="2:9" ht="15" x14ac:dyDescent="0.25">
      <c r="B9352"/>
      <c r="C9352"/>
      <c r="D9352"/>
      <c r="E9352"/>
      <c r="F9352"/>
      <c r="G9352" s="20"/>
      <c r="H9352"/>
      <c r="I9352"/>
    </row>
    <row r="9353" spans="2:9" ht="15" x14ac:dyDescent="0.25">
      <c r="B9353"/>
      <c r="C9353"/>
      <c r="D9353"/>
      <c r="E9353"/>
      <c r="F9353"/>
      <c r="G9353" s="20"/>
      <c r="H9353"/>
      <c r="I9353"/>
    </row>
    <row r="9354" spans="2:9" ht="15" x14ac:dyDescent="0.25">
      <c r="B9354"/>
      <c r="C9354"/>
      <c r="D9354"/>
      <c r="E9354"/>
      <c r="F9354"/>
      <c r="G9354" s="20"/>
      <c r="H9354"/>
      <c r="I9354"/>
    </row>
    <row r="9355" spans="2:9" ht="15" x14ac:dyDescent="0.25">
      <c r="B9355"/>
      <c r="C9355"/>
      <c r="D9355"/>
      <c r="E9355"/>
      <c r="F9355"/>
      <c r="G9355" s="20"/>
      <c r="H9355"/>
      <c r="I9355"/>
    </row>
    <row r="9356" spans="2:9" ht="15" x14ac:dyDescent="0.25">
      <c r="B9356"/>
      <c r="C9356"/>
      <c r="D9356"/>
      <c r="E9356"/>
      <c r="F9356"/>
      <c r="G9356" s="20"/>
      <c r="H9356"/>
      <c r="I9356"/>
    </row>
    <row r="9357" spans="2:9" ht="15" x14ac:dyDescent="0.25">
      <c r="B9357"/>
      <c r="C9357"/>
      <c r="D9357"/>
      <c r="E9357"/>
      <c r="F9357"/>
      <c r="G9357" s="20"/>
      <c r="H9357"/>
      <c r="I9357"/>
    </row>
    <row r="9358" spans="2:9" ht="15" x14ac:dyDescent="0.25">
      <c r="B9358"/>
      <c r="C9358"/>
      <c r="D9358"/>
      <c r="E9358"/>
      <c r="F9358"/>
      <c r="G9358" s="20"/>
      <c r="H9358"/>
      <c r="I9358"/>
    </row>
    <row r="9359" spans="2:9" ht="15" x14ac:dyDescent="0.25">
      <c r="B9359"/>
      <c r="C9359"/>
      <c r="D9359"/>
      <c r="E9359"/>
      <c r="F9359"/>
      <c r="G9359" s="20"/>
      <c r="H9359"/>
      <c r="I9359"/>
    </row>
    <row r="9360" spans="2:9" ht="15" x14ac:dyDescent="0.25">
      <c r="B9360"/>
      <c r="C9360"/>
      <c r="D9360"/>
      <c r="E9360"/>
      <c r="F9360"/>
      <c r="G9360" s="20"/>
      <c r="H9360"/>
      <c r="I9360"/>
    </row>
    <row r="9361" spans="2:9" ht="15" x14ac:dyDescent="0.25">
      <c r="B9361"/>
      <c r="C9361"/>
      <c r="D9361"/>
      <c r="E9361"/>
      <c r="F9361"/>
      <c r="G9361" s="20"/>
      <c r="H9361"/>
      <c r="I9361"/>
    </row>
    <row r="9362" spans="2:9" ht="15" x14ac:dyDescent="0.25">
      <c r="B9362"/>
      <c r="C9362"/>
      <c r="D9362"/>
      <c r="E9362"/>
      <c r="F9362"/>
      <c r="G9362" s="20"/>
      <c r="H9362"/>
      <c r="I9362"/>
    </row>
    <row r="9363" spans="2:9" ht="15" x14ac:dyDescent="0.25">
      <c r="B9363"/>
      <c r="C9363"/>
      <c r="D9363"/>
      <c r="E9363"/>
      <c r="F9363"/>
      <c r="G9363" s="20"/>
      <c r="H9363"/>
      <c r="I9363"/>
    </row>
    <row r="9364" spans="2:9" ht="15" x14ac:dyDescent="0.25">
      <c r="B9364"/>
      <c r="C9364"/>
      <c r="D9364"/>
      <c r="E9364"/>
      <c r="F9364"/>
      <c r="G9364" s="20"/>
      <c r="H9364"/>
      <c r="I9364"/>
    </row>
    <row r="9365" spans="2:9" ht="15" x14ac:dyDescent="0.25">
      <c r="B9365"/>
      <c r="C9365"/>
      <c r="D9365"/>
      <c r="E9365"/>
      <c r="F9365"/>
      <c r="G9365" s="20"/>
      <c r="H9365"/>
      <c r="I9365"/>
    </row>
    <row r="9366" spans="2:9" ht="15" x14ac:dyDescent="0.25">
      <c r="B9366"/>
      <c r="C9366"/>
      <c r="D9366"/>
      <c r="E9366"/>
      <c r="F9366"/>
      <c r="G9366" s="20"/>
      <c r="H9366"/>
      <c r="I9366"/>
    </row>
    <row r="9367" spans="2:9" ht="15" x14ac:dyDescent="0.25">
      <c r="B9367"/>
      <c r="C9367"/>
      <c r="D9367"/>
      <c r="E9367"/>
      <c r="F9367"/>
      <c r="G9367" s="20"/>
      <c r="H9367"/>
      <c r="I9367"/>
    </row>
    <row r="9368" spans="2:9" ht="15" x14ac:dyDescent="0.25">
      <c r="B9368"/>
      <c r="C9368"/>
      <c r="D9368"/>
      <c r="E9368"/>
      <c r="F9368"/>
      <c r="G9368" s="20"/>
      <c r="H9368"/>
      <c r="I9368"/>
    </row>
    <row r="9369" spans="2:9" ht="15" x14ac:dyDescent="0.25">
      <c r="B9369"/>
      <c r="C9369"/>
      <c r="D9369"/>
      <c r="E9369"/>
      <c r="F9369"/>
      <c r="G9369" s="20"/>
      <c r="H9369"/>
      <c r="I9369"/>
    </row>
    <row r="9370" spans="2:9" ht="15" x14ac:dyDescent="0.25">
      <c r="B9370"/>
      <c r="C9370"/>
      <c r="D9370"/>
      <c r="E9370"/>
      <c r="F9370"/>
      <c r="G9370" s="20"/>
      <c r="H9370"/>
      <c r="I9370"/>
    </row>
    <row r="9371" spans="2:9" ht="15" x14ac:dyDescent="0.25">
      <c r="B9371"/>
      <c r="C9371"/>
      <c r="D9371"/>
      <c r="E9371"/>
      <c r="F9371"/>
      <c r="G9371" s="20"/>
      <c r="H9371"/>
      <c r="I9371"/>
    </row>
    <row r="9372" spans="2:9" ht="15" x14ac:dyDescent="0.25">
      <c r="B9372"/>
      <c r="C9372"/>
      <c r="D9372"/>
      <c r="E9372"/>
      <c r="F9372"/>
      <c r="G9372" s="20"/>
      <c r="H9372"/>
      <c r="I9372"/>
    </row>
    <row r="9373" spans="2:9" ht="15" x14ac:dyDescent="0.25">
      <c r="B9373"/>
      <c r="C9373"/>
      <c r="D9373"/>
      <c r="E9373"/>
      <c r="F9373"/>
      <c r="G9373" s="20"/>
      <c r="H9373"/>
      <c r="I9373"/>
    </row>
    <row r="9374" spans="2:9" ht="15" x14ac:dyDescent="0.25">
      <c r="B9374"/>
      <c r="C9374"/>
      <c r="D9374"/>
      <c r="E9374"/>
      <c r="F9374"/>
      <c r="G9374" s="20"/>
      <c r="H9374"/>
      <c r="I9374"/>
    </row>
    <row r="9375" spans="2:9" ht="15" x14ac:dyDescent="0.25">
      <c r="B9375"/>
      <c r="C9375"/>
      <c r="D9375"/>
      <c r="E9375"/>
      <c r="F9375"/>
      <c r="G9375" s="20"/>
      <c r="H9375"/>
      <c r="I9375"/>
    </row>
    <row r="9376" spans="2:9" ht="15" x14ac:dyDescent="0.25">
      <c r="B9376"/>
      <c r="C9376"/>
      <c r="D9376"/>
      <c r="E9376"/>
      <c r="F9376"/>
      <c r="G9376" s="20"/>
      <c r="H9376"/>
      <c r="I9376"/>
    </row>
    <row r="9377" spans="2:9" ht="15" x14ac:dyDescent="0.25">
      <c r="B9377"/>
      <c r="C9377"/>
      <c r="D9377"/>
      <c r="E9377"/>
      <c r="F9377"/>
      <c r="G9377" s="20"/>
      <c r="H9377"/>
      <c r="I9377"/>
    </row>
    <row r="9378" spans="2:9" ht="15" x14ac:dyDescent="0.25">
      <c r="B9378"/>
      <c r="C9378"/>
      <c r="D9378"/>
      <c r="E9378"/>
      <c r="F9378"/>
      <c r="G9378" s="20"/>
      <c r="H9378"/>
      <c r="I9378"/>
    </row>
    <row r="9379" spans="2:9" ht="15" x14ac:dyDescent="0.25">
      <c r="B9379"/>
      <c r="C9379"/>
      <c r="D9379"/>
      <c r="E9379"/>
      <c r="F9379"/>
      <c r="G9379" s="20"/>
      <c r="H9379"/>
      <c r="I9379"/>
    </row>
    <row r="9380" spans="2:9" ht="15" x14ac:dyDescent="0.25">
      <c r="B9380"/>
      <c r="C9380"/>
      <c r="D9380"/>
      <c r="E9380"/>
      <c r="F9380"/>
      <c r="G9380" s="20"/>
      <c r="H9380"/>
      <c r="I9380"/>
    </row>
    <row r="9381" spans="2:9" ht="15" x14ac:dyDescent="0.25">
      <c r="B9381"/>
      <c r="C9381"/>
      <c r="D9381"/>
      <c r="E9381"/>
      <c r="F9381"/>
      <c r="G9381" s="20"/>
      <c r="H9381"/>
      <c r="I9381"/>
    </row>
    <row r="9382" spans="2:9" ht="15" x14ac:dyDescent="0.25">
      <c r="B9382"/>
      <c r="C9382"/>
      <c r="D9382"/>
      <c r="E9382"/>
      <c r="F9382"/>
      <c r="G9382" s="20"/>
      <c r="H9382"/>
      <c r="I9382"/>
    </row>
    <row r="9383" spans="2:9" ht="15" x14ac:dyDescent="0.25">
      <c r="B9383"/>
      <c r="C9383"/>
      <c r="D9383"/>
      <c r="E9383"/>
      <c r="F9383"/>
      <c r="G9383" s="20"/>
      <c r="H9383"/>
      <c r="I9383"/>
    </row>
    <row r="9384" spans="2:9" ht="15" x14ac:dyDescent="0.25">
      <c r="B9384"/>
      <c r="C9384"/>
      <c r="D9384"/>
      <c r="E9384"/>
      <c r="F9384"/>
      <c r="G9384" s="20"/>
      <c r="H9384"/>
      <c r="I9384"/>
    </row>
    <row r="9385" spans="2:9" ht="15" x14ac:dyDescent="0.25">
      <c r="B9385"/>
      <c r="C9385"/>
      <c r="D9385"/>
      <c r="E9385"/>
      <c r="F9385"/>
      <c r="G9385" s="20"/>
      <c r="H9385"/>
      <c r="I9385"/>
    </row>
    <row r="9386" spans="2:9" ht="15" x14ac:dyDescent="0.25">
      <c r="B9386"/>
      <c r="C9386"/>
      <c r="D9386"/>
      <c r="E9386"/>
      <c r="F9386"/>
      <c r="G9386" s="20"/>
      <c r="H9386"/>
      <c r="I9386"/>
    </row>
    <row r="9387" spans="2:9" ht="15" x14ac:dyDescent="0.25">
      <c r="B9387"/>
      <c r="C9387"/>
      <c r="D9387"/>
      <c r="E9387"/>
      <c r="F9387"/>
      <c r="G9387" s="20"/>
      <c r="H9387"/>
      <c r="I9387"/>
    </row>
    <row r="9388" spans="2:9" ht="15" x14ac:dyDescent="0.25">
      <c r="B9388"/>
      <c r="C9388"/>
      <c r="D9388"/>
      <c r="E9388"/>
      <c r="F9388"/>
      <c r="G9388" s="20"/>
      <c r="H9388"/>
      <c r="I9388"/>
    </row>
    <row r="9389" spans="2:9" ht="15" x14ac:dyDescent="0.25">
      <c r="B9389"/>
      <c r="C9389"/>
      <c r="D9389"/>
      <c r="E9389"/>
      <c r="F9389"/>
      <c r="G9389" s="20"/>
      <c r="H9389"/>
      <c r="I9389"/>
    </row>
    <row r="9390" spans="2:9" ht="15" x14ac:dyDescent="0.25">
      <c r="B9390"/>
      <c r="C9390"/>
      <c r="D9390"/>
      <c r="E9390"/>
      <c r="F9390"/>
      <c r="G9390" s="20"/>
      <c r="H9390"/>
      <c r="I9390"/>
    </row>
    <row r="9391" spans="2:9" ht="15" x14ac:dyDescent="0.25">
      <c r="B9391"/>
      <c r="C9391"/>
      <c r="D9391"/>
      <c r="E9391"/>
      <c r="F9391"/>
      <c r="G9391" s="20"/>
      <c r="H9391"/>
      <c r="I9391"/>
    </row>
    <row r="9392" spans="2:9" ht="15" x14ac:dyDescent="0.25">
      <c r="B9392"/>
      <c r="C9392"/>
      <c r="D9392"/>
      <c r="E9392"/>
      <c r="F9392"/>
      <c r="G9392" s="20"/>
      <c r="H9392"/>
      <c r="I9392"/>
    </row>
    <row r="9393" spans="2:9" ht="15" x14ac:dyDescent="0.25">
      <c r="B9393"/>
      <c r="C9393"/>
      <c r="D9393"/>
      <c r="E9393"/>
      <c r="F9393"/>
      <c r="G9393" s="20"/>
      <c r="H9393"/>
      <c r="I9393"/>
    </row>
    <row r="9394" spans="2:9" ht="15" x14ac:dyDescent="0.25">
      <c r="B9394"/>
      <c r="C9394"/>
      <c r="D9394"/>
      <c r="E9394"/>
      <c r="F9394"/>
      <c r="G9394" s="20"/>
      <c r="H9394"/>
      <c r="I9394"/>
    </row>
    <row r="9395" spans="2:9" ht="15" x14ac:dyDescent="0.25">
      <c r="B9395"/>
      <c r="C9395"/>
      <c r="D9395"/>
      <c r="E9395"/>
      <c r="F9395"/>
      <c r="G9395" s="20"/>
      <c r="H9395"/>
      <c r="I9395"/>
    </row>
    <row r="9396" spans="2:9" ht="15" x14ac:dyDescent="0.25">
      <c r="B9396"/>
      <c r="C9396"/>
      <c r="D9396"/>
      <c r="E9396"/>
      <c r="F9396"/>
      <c r="G9396" s="20"/>
      <c r="H9396"/>
      <c r="I9396"/>
    </row>
    <row r="9397" spans="2:9" ht="15" x14ac:dyDescent="0.25">
      <c r="B9397"/>
      <c r="C9397"/>
      <c r="D9397"/>
      <c r="E9397"/>
      <c r="F9397"/>
      <c r="G9397" s="20"/>
      <c r="H9397"/>
      <c r="I9397"/>
    </row>
    <row r="9398" spans="2:9" ht="15" x14ac:dyDescent="0.25">
      <c r="B9398"/>
      <c r="C9398"/>
      <c r="D9398"/>
      <c r="E9398"/>
      <c r="F9398"/>
      <c r="G9398" s="20"/>
      <c r="H9398"/>
      <c r="I9398"/>
    </row>
    <row r="9399" spans="2:9" ht="15" x14ac:dyDescent="0.25">
      <c r="B9399"/>
      <c r="C9399"/>
      <c r="D9399"/>
      <c r="E9399"/>
      <c r="F9399"/>
      <c r="G9399" s="20"/>
      <c r="H9399"/>
      <c r="I9399"/>
    </row>
    <row r="9400" spans="2:9" ht="15" x14ac:dyDescent="0.25">
      <c r="B9400"/>
      <c r="C9400"/>
      <c r="D9400"/>
      <c r="E9400"/>
      <c r="F9400"/>
      <c r="G9400" s="20"/>
      <c r="H9400"/>
      <c r="I9400"/>
    </row>
    <row r="9401" spans="2:9" ht="15" x14ac:dyDescent="0.25">
      <c r="B9401"/>
      <c r="C9401"/>
      <c r="D9401"/>
      <c r="E9401"/>
      <c r="F9401"/>
      <c r="G9401" s="20"/>
      <c r="H9401"/>
      <c r="I9401"/>
    </row>
    <row r="9402" spans="2:9" ht="15" x14ac:dyDescent="0.25">
      <c r="B9402"/>
      <c r="C9402"/>
      <c r="D9402"/>
      <c r="E9402"/>
      <c r="F9402"/>
      <c r="G9402" s="20"/>
      <c r="H9402"/>
      <c r="I9402"/>
    </row>
    <row r="9403" spans="2:9" ht="15" x14ac:dyDescent="0.25">
      <c r="B9403"/>
      <c r="C9403"/>
      <c r="D9403"/>
      <c r="E9403"/>
      <c r="F9403"/>
      <c r="G9403" s="20"/>
      <c r="H9403"/>
      <c r="I9403"/>
    </row>
    <row r="9404" spans="2:9" ht="15" x14ac:dyDescent="0.25">
      <c r="B9404"/>
      <c r="C9404"/>
      <c r="D9404"/>
      <c r="E9404"/>
      <c r="F9404"/>
      <c r="G9404" s="20"/>
      <c r="H9404"/>
      <c r="I9404"/>
    </row>
    <row r="9405" spans="2:9" ht="15" x14ac:dyDescent="0.25">
      <c r="B9405"/>
      <c r="C9405"/>
      <c r="D9405"/>
      <c r="E9405"/>
      <c r="F9405"/>
      <c r="G9405" s="20"/>
      <c r="H9405"/>
      <c r="I9405"/>
    </row>
    <row r="9406" spans="2:9" ht="15" x14ac:dyDescent="0.25">
      <c r="B9406"/>
      <c r="C9406"/>
      <c r="D9406"/>
      <c r="E9406"/>
      <c r="F9406"/>
      <c r="G9406" s="20"/>
      <c r="H9406"/>
      <c r="I9406"/>
    </row>
    <row r="9407" spans="2:9" ht="15" x14ac:dyDescent="0.25">
      <c r="B9407"/>
      <c r="C9407"/>
      <c r="D9407"/>
      <c r="E9407"/>
      <c r="F9407"/>
      <c r="G9407" s="20"/>
      <c r="H9407"/>
      <c r="I9407"/>
    </row>
    <row r="9408" spans="2:9" ht="15" x14ac:dyDescent="0.25">
      <c r="B9408"/>
      <c r="C9408"/>
      <c r="D9408"/>
      <c r="E9408"/>
      <c r="F9408"/>
      <c r="G9408" s="20"/>
      <c r="H9408"/>
      <c r="I9408"/>
    </row>
    <row r="9409" spans="2:9" ht="15" x14ac:dyDescent="0.25">
      <c r="B9409"/>
      <c r="C9409"/>
      <c r="D9409"/>
      <c r="E9409"/>
      <c r="F9409"/>
      <c r="G9409" s="20"/>
      <c r="H9409"/>
      <c r="I9409"/>
    </row>
    <row r="9410" spans="2:9" ht="15" x14ac:dyDescent="0.25">
      <c r="B9410"/>
      <c r="C9410"/>
      <c r="D9410"/>
      <c r="E9410"/>
      <c r="F9410"/>
      <c r="G9410" s="20"/>
      <c r="H9410"/>
      <c r="I9410"/>
    </row>
    <row r="9411" spans="2:9" ht="15" x14ac:dyDescent="0.25">
      <c r="B9411"/>
      <c r="C9411"/>
      <c r="D9411"/>
      <c r="E9411"/>
      <c r="F9411"/>
      <c r="G9411" s="20"/>
      <c r="H9411"/>
      <c r="I9411"/>
    </row>
    <row r="9412" spans="2:9" ht="15" x14ac:dyDescent="0.25">
      <c r="B9412"/>
      <c r="C9412"/>
      <c r="D9412"/>
      <c r="E9412"/>
      <c r="F9412"/>
      <c r="G9412" s="20"/>
      <c r="H9412"/>
      <c r="I9412"/>
    </row>
    <row r="9413" spans="2:9" ht="15" x14ac:dyDescent="0.25">
      <c r="B9413"/>
      <c r="C9413"/>
      <c r="D9413"/>
      <c r="E9413"/>
      <c r="F9413"/>
      <c r="G9413" s="20"/>
      <c r="H9413"/>
      <c r="I9413"/>
    </row>
    <row r="9414" spans="2:9" ht="15" x14ac:dyDescent="0.25">
      <c r="B9414"/>
      <c r="C9414"/>
      <c r="D9414"/>
      <c r="E9414"/>
      <c r="F9414"/>
      <c r="G9414" s="20"/>
      <c r="H9414"/>
      <c r="I9414"/>
    </row>
    <row r="9415" spans="2:9" ht="15" x14ac:dyDescent="0.25">
      <c r="B9415"/>
      <c r="C9415"/>
      <c r="D9415"/>
      <c r="E9415"/>
      <c r="F9415"/>
      <c r="G9415" s="20"/>
      <c r="H9415"/>
      <c r="I9415"/>
    </row>
    <row r="9416" spans="2:9" ht="15" x14ac:dyDescent="0.25">
      <c r="B9416"/>
      <c r="C9416"/>
      <c r="D9416"/>
      <c r="E9416"/>
      <c r="F9416"/>
      <c r="G9416" s="20"/>
      <c r="H9416"/>
      <c r="I9416"/>
    </row>
    <row r="9417" spans="2:9" ht="15" x14ac:dyDescent="0.25">
      <c r="B9417"/>
      <c r="C9417"/>
      <c r="D9417"/>
      <c r="E9417"/>
      <c r="F9417"/>
      <c r="G9417" s="20"/>
      <c r="H9417"/>
      <c r="I9417"/>
    </row>
    <row r="9418" spans="2:9" ht="15" x14ac:dyDescent="0.25">
      <c r="B9418"/>
      <c r="C9418"/>
      <c r="D9418"/>
      <c r="E9418"/>
      <c r="F9418"/>
      <c r="G9418" s="20"/>
      <c r="H9418"/>
      <c r="I9418"/>
    </row>
    <row r="9419" spans="2:9" ht="15" x14ac:dyDescent="0.25">
      <c r="B9419"/>
      <c r="C9419"/>
      <c r="D9419"/>
      <c r="E9419"/>
      <c r="F9419"/>
      <c r="G9419" s="20"/>
      <c r="H9419"/>
      <c r="I9419"/>
    </row>
    <row r="9420" spans="2:9" ht="15" x14ac:dyDescent="0.25">
      <c r="B9420"/>
      <c r="C9420"/>
      <c r="D9420"/>
      <c r="E9420"/>
      <c r="F9420"/>
      <c r="G9420" s="20"/>
      <c r="H9420"/>
      <c r="I9420"/>
    </row>
    <row r="9421" spans="2:9" ht="15" x14ac:dyDescent="0.25">
      <c r="B9421"/>
      <c r="C9421"/>
      <c r="D9421"/>
      <c r="E9421"/>
      <c r="F9421"/>
      <c r="G9421" s="20"/>
      <c r="H9421"/>
      <c r="I9421"/>
    </row>
    <row r="9422" spans="2:9" ht="15" x14ac:dyDescent="0.25">
      <c r="B9422"/>
      <c r="C9422"/>
      <c r="D9422"/>
      <c r="E9422"/>
      <c r="F9422"/>
      <c r="G9422" s="20"/>
      <c r="H9422"/>
      <c r="I9422"/>
    </row>
    <row r="9423" spans="2:9" ht="15" x14ac:dyDescent="0.25">
      <c r="B9423"/>
      <c r="C9423"/>
      <c r="D9423"/>
      <c r="E9423"/>
      <c r="F9423"/>
      <c r="G9423" s="20"/>
      <c r="H9423"/>
      <c r="I9423"/>
    </row>
    <row r="9424" spans="2:9" ht="15" x14ac:dyDescent="0.25">
      <c r="B9424"/>
      <c r="C9424"/>
      <c r="D9424"/>
      <c r="E9424"/>
      <c r="F9424"/>
      <c r="G9424" s="20"/>
      <c r="H9424"/>
      <c r="I9424"/>
    </row>
    <row r="9425" spans="2:9" ht="15" x14ac:dyDescent="0.25">
      <c r="B9425"/>
      <c r="C9425"/>
      <c r="D9425"/>
      <c r="E9425"/>
      <c r="F9425"/>
      <c r="G9425" s="20"/>
      <c r="H9425"/>
      <c r="I9425"/>
    </row>
    <row r="9426" spans="2:9" ht="15" x14ac:dyDescent="0.25">
      <c r="B9426"/>
      <c r="C9426"/>
      <c r="D9426"/>
      <c r="E9426"/>
      <c r="F9426"/>
      <c r="G9426" s="20"/>
      <c r="H9426"/>
      <c r="I9426"/>
    </row>
    <row r="9427" spans="2:9" ht="15" x14ac:dyDescent="0.25">
      <c r="B9427"/>
      <c r="C9427"/>
      <c r="D9427"/>
      <c r="E9427"/>
      <c r="F9427"/>
      <c r="G9427" s="20"/>
      <c r="H9427"/>
      <c r="I9427"/>
    </row>
    <row r="9428" spans="2:9" ht="15" x14ac:dyDescent="0.25">
      <c r="B9428"/>
      <c r="C9428"/>
      <c r="D9428"/>
      <c r="E9428"/>
      <c r="F9428"/>
      <c r="G9428" s="20"/>
      <c r="H9428"/>
      <c r="I9428"/>
    </row>
    <row r="9429" spans="2:9" ht="15" x14ac:dyDescent="0.25">
      <c r="B9429"/>
      <c r="C9429"/>
      <c r="D9429"/>
      <c r="E9429"/>
      <c r="F9429"/>
      <c r="G9429" s="20"/>
      <c r="H9429"/>
      <c r="I9429"/>
    </row>
    <row r="9430" spans="2:9" ht="15" x14ac:dyDescent="0.25">
      <c r="B9430"/>
      <c r="C9430"/>
      <c r="D9430"/>
      <c r="E9430"/>
      <c r="F9430"/>
      <c r="G9430" s="20"/>
      <c r="H9430"/>
      <c r="I9430"/>
    </row>
    <row r="9431" spans="2:9" ht="15" x14ac:dyDescent="0.25">
      <c r="B9431"/>
      <c r="C9431"/>
      <c r="D9431"/>
      <c r="E9431"/>
      <c r="F9431"/>
      <c r="G9431" s="20"/>
      <c r="H9431"/>
      <c r="I9431"/>
    </row>
    <row r="9432" spans="2:9" ht="15" x14ac:dyDescent="0.25">
      <c r="B9432"/>
      <c r="C9432"/>
      <c r="D9432"/>
      <c r="E9432"/>
      <c r="F9432"/>
      <c r="G9432" s="20"/>
      <c r="H9432"/>
      <c r="I9432"/>
    </row>
    <row r="9433" spans="2:9" ht="15" x14ac:dyDescent="0.25">
      <c r="B9433"/>
      <c r="C9433"/>
      <c r="D9433"/>
      <c r="E9433"/>
      <c r="F9433"/>
      <c r="G9433" s="20"/>
      <c r="H9433"/>
      <c r="I9433"/>
    </row>
    <row r="9434" spans="2:9" ht="15" x14ac:dyDescent="0.25">
      <c r="B9434"/>
      <c r="C9434"/>
      <c r="D9434"/>
      <c r="E9434"/>
      <c r="F9434"/>
      <c r="G9434" s="20"/>
      <c r="H9434"/>
      <c r="I9434"/>
    </row>
    <row r="9435" spans="2:9" ht="15" x14ac:dyDescent="0.25">
      <c r="B9435"/>
      <c r="C9435"/>
      <c r="D9435"/>
      <c r="E9435"/>
      <c r="F9435"/>
      <c r="G9435" s="20"/>
      <c r="H9435"/>
      <c r="I9435"/>
    </row>
    <row r="9436" spans="2:9" ht="15" x14ac:dyDescent="0.25">
      <c r="B9436"/>
      <c r="C9436"/>
      <c r="D9436"/>
      <c r="E9436"/>
      <c r="F9436"/>
      <c r="G9436" s="20"/>
      <c r="H9436"/>
      <c r="I9436"/>
    </row>
    <row r="9437" spans="2:9" ht="15" x14ac:dyDescent="0.25">
      <c r="B9437"/>
      <c r="C9437"/>
      <c r="D9437"/>
      <c r="E9437"/>
      <c r="F9437"/>
      <c r="G9437" s="20"/>
      <c r="H9437"/>
      <c r="I9437"/>
    </row>
    <row r="9438" spans="2:9" ht="15" x14ac:dyDescent="0.25">
      <c r="B9438"/>
      <c r="C9438"/>
      <c r="D9438"/>
      <c r="E9438"/>
      <c r="F9438"/>
      <c r="G9438" s="20"/>
      <c r="H9438"/>
      <c r="I9438"/>
    </row>
    <row r="9439" spans="2:9" ht="15" x14ac:dyDescent="0.25">
      <c r="B9439"/>
      <c r="C9439"/>
      <c r="D9439"/>
      <c r="E9439"/>
      <c r="F9439"/>
      <c r="G9439" s="20"/>
      <c r="H9439"/>
      <c r="I9439"/>
    </row>
    <row r="9440" spans="2:9" ht="15" x14ac:dyDescent="0.25">
      <c r="B9440"/>
      <c r="C9440"/>
      <c r="D9440"/>
      <c r="E9440"/>
      <c r="F9440"/>
      <c r="G9440" s="20"/>
      <c r="H9440"/>
      <c r="I9440"/>
    </row>
    <row r="9441" spans="2:9" ht="15" x14ac:dyDescent="0.25">
      <c r="B9441"/>
      <c r="C9441"/>
      <c r="D9441"/>
      <c r="E9441"/>
      <c r="F9441"/>
      <c r="G9441" s="20"/>
      <c r="H9441"/>
      <c r="I9441"/>
    </row>
    <row r="9442" spans="2:9" ht="15" x14ac:dyDescent="0.25">
      <c r="B9442"/>
      <c r="C9442"/>
      <c r="D9442"/>
      <c r="E9442"/>
      <c r="F9442"/>
      <c r="G9442" s="20"/>
      <c r="H9442"/>
      <c r="I9442"/>
    </row>
    <row r="9443" spans="2:9" ht="15" x14ac:dyDescent="0.25">
      <c r="B9443"/>
      <c r="C9443"/>
      <c r="D9443"/>
      <c r="E9443"/>
      <c r="F9443"/>
      <c r="G9443" s="20"/>
      <c r="H9443"/>
      <c r="I9443"/>
    </row>
    <row r="9444" spans="2:9" ht="15" x14ac:dyDescent="0.25">
      <c r="B9444"/>
      <c r="C9444"/>
      <c r="D9444"/>
      <c r="E9444"/>
      <c r="F9444"/>
      <c r="G9444" s="20"/>
      <c r="H9444"/>
      <c r="I9444"/>
    </row>
    <row r="9445" spans="2:9" ht="15" x14ac:dyDescent="0.25">
      <c r="B9445"/>
      <c r="C9445"/>
      <c r="D9445"/>
      <c r="E9445"/>
      <c r="F9445"/>
      <c r="G9445" s="20"/>
      <c r="H9445"/>
      <c r="I9445"/>
    </row>
    <row r="9446" spans="2:9" ht="15" x14ac:dyDescent="0.25">
      <c r="B9446"/>
      <c r="C9446"/>
      <c r="D9446"/>
      <c r="E9446"/>
      <c r="F9446"/>
      <c r="G9446" s="20"/>
      <c r="H9446"/>
      <c r="I9446"/>
    </row>
    <row r="9447" spans="2:9" ht="15" x14ac:dyDescent="0.25">
      <c r="B9447"/>
      <c r="C9447"/>
      <c r="D9447"/>
      <c r="E9447"/>
      <c r="F9447"/>
      <c r="G9447" s="20"/>
      <c r="H9447"/>
      <c r="I9447"/>
    </row>
    <row r="9448" spans="2:9" ht="15" x14ac:dyDescent="0.25">
      <c r="B9448"/>
      <c r="C9448"/>
      <c r="D9448"/>
      <c r="E9448"/>
      <c r="F9448"/>
      <c r="G9448" s="20"/>
      <c r="H9448"/>
      <c r="I9448"/>
    </row>
    <row r="9449" spans="2:9" ht="15" x14ac:dyDescent="0.25">
      <c r="B9449"/>
      <c r="C9449"/>
      <c r="D9449"/>
      <c r="E9449"/>
      <c r="F9449"/>
      <c r="G9449" s="20"/>
      <c r="H9449"/>
      <c r="I9449"/>
    </row>
    <row r="9450" spans="2:9" ht="15" x14ac:dyDescent="0.25">
      <c r="B9450"/>
      <c r="C9450"/>
      <c r="D9450"/>
      <c r="E9450"/>
      <c r="F9450"/>
      <c r="G9450" s="20"/>
      <c r="H9450"/>
      <c r="I9450"/>
    </row>
    <row r="9451" spans="2:9" ht="15" x14ac:dyDescent="0.25">
      <c r="B9451"/>
      <c r="C9451"/>
      <c r="D9451"/>
      <c r="E9451"/>
      <c r="F9451"/>
      <c r="G9451" s="20"/>
      <c r="H9451"/>
      <c r="I9451"/>
    </row>
    <row r="9452" spans="2:9" ht="15" x14ac:dyDescent="0.25">
      <c r="B9452"/>
      <c r="C9452"/>
      <c r="D9452"/>
      <c r="E9452"/>
      <c r="F9452"/>
      <c r="G9452" s="20"/>
      <c r="H9452"/>
      <c r="I9452"/>
    </row>
    <row r="9453" spans="2:9" ht="15" x14ac:dyDescent="0.25">
      <c r="B9453"/>
      <c r="C9453"/>
      <c r="D9453"/>
      <c r="E9453"/>
      <c r="F9453"/>
      <c r="G9453" s="20"/>
      <c r="H9453"/>
      <c r="I9453"/>
    </row>
    <row r="9454" spans="2:9" ht="15" x14ac:dyDescent="0.25">
      <c r="B9454"/>
      <c r="C9454"/>
      <c r="D9454"/>
      <c r="E9454"/>
      <c r="F9454"/>
      <c r="G9454" s="20"/>
      <c r="H9454"/>
      <c r="I9454"/>
    </row>
    <row r="9455" spans="2:9" ht="15" x14ac:dyDescent="0.25">
      <c r="B9455"/>
      <c r="C9455"/>
      <c r="D9455"/>
      <c r="E9455"/>
      <c r="F9455"/>
      <c r="G9455" s="20"/>
      <c r="H9455"/>
      <c r="I9455"/>
    </row>
    <row r="9456" spans="2:9" ht="15" x14ac:dyDescent="0.25">
      <c r="B9456"/>
      <c r="C9456"/>
      <c r="D9456"/>
      <c r="E9456"/>
      <c r="F9456"/>
      <c r="G9456" s="20"/>
      <c r="H9456"/>
      <c r="I9456"/>
    </row>
    <row r="9457" spans="2:9" ht="15" x14ac:dyDescent="0.25">
      <c r="B9457"/>
      <c r="C9457"/>
      <c r="D9457"/>
      <c r="E9457"/>
      <c r="F9457"/>
      <c r="G9457" s="20"/>
      <c r="H9457"/>
      <c r="I9457"/>
    </row>
    <row r="9458" spans="2:9" ht="15" x14ac:dyDescent="0.25">
      <c r="B9458"/>
      <c r="C9458"/>
      <c r="D9458"/>
      <c r="E9458"/>
      <c r="F9458"/>
      <c r="G9458" s="20"/>
      <c r="H9458"/>
      <c r="I9458"/>
    </row>
    <row r="9459" spans="2:9" ht="15" x14ac:dyDescent="0.25">
      <c r="B9459"/>
      <c r="C9459"/>
      <c r="D9459"/>
      <c r="E9459"/>
      <c r="F9459"/>
      <c r="G9459" s="20"/>
      <c r="H9459"/>
      <c r="I9459"/>
    </row>
    <row r="9460" spans="2:9" ht="15" x14ac:dyDescent="0.25">
      <c r="B9460"/>
      <c r="C9460"/>
      <c r="D9460"/>
      <c r="E9460"/>
      <c r="F9460"/>
      <c r="G9460" s="20"/>
      <c r="H9460"/>
      <c r="I9460"/>
    </row>
    <row r="9461" spans="2:9" ht="15" x14ac:dyDescent="0.25">
      <c r="B9461"/>
      <c r="C9461"/>
      <c r="D9461"/>
      <c r="E9461"/>
      <c r="F9461"/>
      <c r="G9461" s="20"/>
      <c r="H9461"/>
      <c r="I9461"/>
    </row>
    <row r="9462" spans="2:9" ht="15" x14ac:dyDescent="0.25">
      <c r="B9462"/>
      <c r="C9462"/>
      <c r="D9462"/>
      <c r="E9462"/>
      <c r="F9462"/>
      <c r="G9462" s="20"/>
      <c r="H9462"/>
      <c r="I9462"/>
    </row>
    <row r="9463" spans="2:9" ht="15" x14ac:dyDescent="0.25">
      <c r="B9463"/>
      <c r="C9463"/>
      <c r="D9463"/>
      <c r="E9463"/>
      <c r="F9463"/>
      <c r="G9463" s="20"/>
      <c r="H9463"/>
      <c r="I9463"/>
    </row>
    <row r="9464" spans="2:9" ht="15" x14ac:dyDescent="0.25">
      <c r="B9464"/>
      <c r="C9464"/>
      <c r="D9464"/>
      <c r="E9464"/>
      <c r="F9464"/>
      <c r="G9464" s="20"/>
      <c r="H9464"/>
      <c r="I9464"/>
    </row>
    <row r="9465" spans="2:9" ht="15" x14ac:dyDescent="0.25">
      <c r="B9465"/>
      <c r="C9465"/>
      <c r="D9465"/>
      <c r="E9465"/>
      <c r="F9465"/>
      <c r="G9465" s="20"/>
      <c r="H9465"/>
      <c r="I9465"/>
    </row>
    <row r="9466" spans="2:9" ht="15" x14ac:dyDescent="0.25">
      <c r="B9466"/>
      <c r="C9466"/>
      <c r="D9466"/>
      <c r="E9466"/>
      <c r="F9466"/>
      <c r="G9466" s="20"/>
      <c r="H9466"/>
      <c r="I9466"/>
    </row>
    <row r="9467" spans="2:9" ht="15" x14ac:dyDescent="0.25">
      <c r="B9467"/>
      <c r="C9467"/>
      <c r="D9467"/>
      <c r="E9467"/>
      <c r="F9467"/>
      <c r="G9467" s="20"/>
      <c r="H9467"/>
      <c r="I9467"/>
    </row>
    <row r="9468" spans="2:9" ht="15" x14ac:dyDescent="0.25">
      <c r="B9468"/>
      <c r="C9468"/>
      <c r="D9468"/>
      <c r="E9468"/>
      <c r="F9468"/>
      <c r="G9468" s="20"/>
      <c r="H9468"/>
      <c r="I9468"/>
    </row>
    <row r="9469" spans="2:9" ht="15" x14ac:dyDescent="0.25">
      <c r="B9469"/>
      <c r="C9469"/>
      <c r="D9469"/>
      <c r="E9469"/>
      <c r="F9469"/>
      <c r="G9469" s="20"/>
      <c r="H9469"/>
      <c r="I9469"/>
    </row>
    <row r="9470" spans="2:9" ht="15" x14ac:dyDescent="0.25">
      <c r="B9470"/>
      <c r="C9470"/>
      <c r="D9470"/>
      <c r="E9470"/>
      <c r="F9470"/>
      <c r="G9470" s="20"/>
      <c r="H9470"/>
      <c r="I9470"/>
    </row>
    <row r="9471" spans="2:9" ht="15" x14ac:dyDescent="0.25">
      <c r="B9471"/>
      <c r="C9471"/>
      <c r="D9471"/>
      <c r="E9471"/>
      <c r="F9471"/>
      <c r="G9471" s="20"/>
      <c r="H9471"/>
      <c r="I9471"/>
    </row>
    <row r="9472" spans="2:9" ht="15" x14ac:dyDescent="0.25">
      <c r="B9472"/>
      <c r="C9472"/>
      <c r="D9472"/>
      <c r="E9472"/>
      <c r="F9472"/>
      <c r="G9472" s="20"/>
      <c r="H9472"/>
      <c r="I9472"/>
    </row>
    <row r="9473" spans="2:9" ht="15" x14ac:dyDescent="0.25">
      <c r="B9473"/>
      <c r="C9473"/>
      <c r="D9473"/>
      <c r="E9473"/>
      <c r="F9473"/>
      <c r="G9473" s="20"/>
      <c r="H9473"/>
      <c r="I9473"/>
    </row>
    <row r="9474" spans="2:9" ht="15" x14ac:dyDescent="0.25">
      <c r="B9474"/>
      <c r="C9474"/>
      <c r="D9474"/>
      <c r="E9474"/>
      <c r="F9474"/>
      <c r="G9474" s="20"/>
      <c r="H9474"/>
      <c r="I9474"/>
    </row>
    <row r="9475" spans="2:9" ht="15" x14ac:dyDescent="0.25">
      <c r="B9475"/>
      <c r="C9475"/>
      <c r="D9475"/>
      <c r="E9475"/>
      <c r="F9475"/>
      <c r="G9475" s="20"/>
      <c r="H9475"/>
      <c r="I9475"/>
    </row>
    <row r="9476" spans="2:9" ht="15" x14ac:dyDescent="0.25">
      <c r="B9476"/>
      <c r="C9476"/>
      <c r="D9476"/>
      <c r="E9476"/>
      <c r="F9476"/>
      <c r="G9476" s="20"/>
      <c r="H9476"/>
      <c r="I9476"/>
    </row>
    <row r="9477" spans="2:9" ht="15" x14ac:dyDescent="0.25">
      <c r="B9477"/>
      <c r="C9477"/>
      <c r="D9477"/>
      <c r="E9477"/>
      <c r="F9477"/>
      <c r="G9477" s="20"/>
      <c r="H9477"/>
      <c r="I9477"/>
    </row>
    <row r="9478" spans="2:9" ht="15" x14ac:dyDescent="0.25">
      <c r="B9478"/>
      <c r="C9478"/>
      <c r="D9478"/>
      <c r="E9478"/>
      <c r="F9478"/>
      <c r="G9478" s="20"/>
      <c r="H9478"/>
      <c r="I9478"/>
    </row>
    <row r="9479" spans="2:9" ht="15" x14ac:dyDescent="0.25">
      <c r="B9479"/>
      <c r="C9479"/>
      <c r="D9479"/>
      <c r="E9479"/>
      <c r="F9479"/>
      <c r="G9479" s="20"/>
      <c r="H9479"/>
      <c r="I9479"/>
    </row>
    <row r="9480" spans="2:9" ht="15" x14ac:dyDescent="0.25">
      <c r="B9480"/>
      <c r="C9480"/>
      <c r="D9480"/>
      <c r="E9480"/>
      <c r="F9480"/>
      <c r="G9480" s="20"/>
      <c r="H9480"/>
      <c r="I9480"/>
    </row>
    <row r="9481" spans="2:9" ht="15" x14ac:dyDescent="0.25">
      <c r="B9481"/>
      <c r="C9481"/>
      <c r="D9481"/>
      <c r="E9481"/>
      <c r="F9481"/>
      <c r="G9481" s="20"/>
      <c r="H9481"/>
      <c r="I9481"/>
    </row>
    <row r="9482" spans="2:9" ht="15" x14ac:dyDescent="0.25">
      <c r="B9482"/>
      <c r="C9482"/>
      <c r="D9482"/>
      <c r="E9482"/>
      <c r="F9482"/>
      <c r="G9482" s="20"/>
      <c r="H9482"/>
      <c r="I9482"/>
    </row>
    <row r="9483" spans="2:9" ht="15" x14ac:dyDescent="0.25">
      <c r="B9483"/>
      <c r="C9483"/>
      <c r="D9483"/>
      <c r="E9483"/>
      <c r="F9483"/>
      <c r="G9483" s="20"/>
      <c r="H9483"/>
      <c r="I9483"/>
    </row>
    <row r="9484" spans="2:9" ht="15" x14ac:dyDescent="0.25">
      <c r="B9484"/>
      <c r="C9484"/>
      <c r="D9484"/>
      <c r="E9484"/>
      <c r="F9484"/>
      <c r="G9484" s="20"/>
      <c r="H9484"/>
      <c r="I9484"/>
    </row>
    <row r="9485" spans="2:9" ht="15" x14ac:dyDescent="0.25">
      <c r="B9485"/>
      <c r="C9485"/>
      <c r="D9485"/>
      <c r="E9485"/>
      <c r="F9485"/>
      <c r="G9485" s="20"/>
      <c r="H9485"/>
      <c r="I9485"/>
    </row>
    <row r="9486" spans="2:9" ht="15" x14ac:dyDescent="0.25">
      <c r="B9486"/>
      <c r="C9486"/>
      <c r="D9486"/>
      <c r="E9486"/>
      <c r="F9486"/>
      <c r="G9486" s="20"/>
      <c r="H9486"/>
      <c r="I9486"/>
    </row>
    <row r="9487" spans="2:9" ht="15" x14ac:dyDescent="0.25">
      <c r="B9487"/>
      <c r="C9487"/>
      <c r="D9487"/>
      <c r="E9487"/>
      <c r="F9487"/>
      <c r="G9487" s="20"/>
      <c r="H9487"/>
      <c r="I9487"/>
    </row>
    <row r="9488" spans="2:9" ht="15" x14ac:dyDescent="0.25">
      <c r="B9488"/>
      <c r="C9488"/>
      <c r="D9488"/>
      <c r="E9488"/>
      <c r="F9488"/>
      <c r="G9488" s="20"/>
      <c r="H9488"/>
      <c r="I9488"/>
    </row>
    <row r="9489" spans="2:9" ht="15" x14ac:dyDescent="0.25">
      <c r="B9489"/>
      <c r="C9489"/>
      <c r="D9489"/>
      <c r="E9489"/>
      <c r="F9489"/>
      <c r="G9489" s="20"/>
      <c r="H9489"/>
      <c r="I9489"/>
    </row>
    <row r="9490" spans="2:9" ht="15" x14ac:dyDescent="0.25">
      <c r="B9490"/>
      <c r="C9490"/>
      <c r="D9490"/>
      <c r="E9490"/>
      <c r="F9490"/>
      <c r="G9490" s="20"/>
      <c r="H9490"/>
      <c r="I9490"/>
    </row>
    <row r="9491" spans="2:9" ht="15" x14ac:dyDescent="0.25">
      <c r="B9491"/>
      <c r="C9491"/>
      <c r="D9491"/>
      <c r="E9491"/>
      <c r="F9491"/>
      <c r="G9491" s="20"/>
      <c r="H9491"/>
      <c r="I9491"/>
    </row>
    <row r="9492" spans="2:9" ht="15" x14ac:dyDescent="0.25">
      <c r="B9492"/>
      <c r="C9492"/>
      <c r="D9492"/>
      <c r="E9492"/>
      <c r="F9492"/>
      <c r="G9492" s="20"/>
      <c r="H9492"/>
      <c r="I9492"/>
    </row>
    <row r="9493" spans="2:9" ht="15" x14ac:dyDescent="0.25">
      <c r="B9493"/>
      <c r="C9493"/>
      <c r="D9493"/>
      <c r="E9493"/>
      <c r="F9493"/>
      <c r="G9493" s="20"/>
      <c r="H9493"/>
      <c r="I9493"/>
    </row>
    <row r="9494" spans="2:9" ht="15" x14ac:dyDescent="0.25">
      <c r="B9494"/>
      <c r="C9494"/>
      <c r="D9494"/>
      <c r="E9494"/>
      <c r="F9494"/>
      <c r="G9494" s="20"/>
      <c r="H9494"/>
      <c r="I9494"/>
    </row>
    <row r="9495" spans="2:9" ht="15" x14ac:dyDescent="0.25">
      <c r="B9495"/>
      <c r="C9495"/>
      <c r="D9495"/>
      <c r="E9495"/>
      <c r="F9495"/>
      <c r="G9495" s="20"/>
      <c r="H9495"/>
      <c r="I9495"/>
    </row>
    <row r="9496" spans="2:9" ht="15" x14ac:dyDescent="0.25">
      <c r="B9496"/>
      <c r="C9496"/>
      <c r="D9496"/>
      <c r="E9496"/>
      <c r="F9496"/>
      <c r="G9496" s="20"/>
      <c r="H9496"/>
      <c r="I9496"/>
    </row>
    <row r="9497" spans="2:9" ht="15" x14ac:dyDescent="0.25">
      <c r="B9497"/>
      <c r="C9497"/>
      <c r="D9497"/>
      <c r="E9497"/>
      <c r="F9497"/>
      <c r="G9497" s="20"/>
      <c r="H9497"/>
      <c r="I9497"/>
    </row>
    <row r="9498" spans="2:9" ht="15" x14ac:dyDescent="0.25">
      <c r="B9498"/>
      <c r="C9498"/>
      <c r="D9498"/>
      <c r="E9498"/>
      <c r="F9498"/>
      <c r="G9498" s="20"/>
      <c r="H9498"/>
      <c r="I9498"/>
    </row>
    <row r="9499" spans="2:9" ht="15" x14ac:dyDescent="0.25">
      <c r="B9499"/>
      <c r="C9499"/>
      <c r="D9499"/>
      <c r="E9499"/>
      <c r="F9499"/>
      <c r="G9499" s="20"/>
      <c r="H9499"/>
      <c r="I9499"/>
    </row>
    <row r="9500" spans="2:9" ht="15" x14ac:dyDescent="0.25">
      <c r="B9500"/>
      <c r="C9500"/>
      <c r="D9500"/>
      <c r="E9500"/>
      <c r="F9500"/>
      <c r="G9500" s="20"/>
      <c r="H9500"/>
      <c r="I9500"/>
    </row>
    <row r="9501" spans="2:9" ht="15" x14ac:dyDescent="0.25">
      <c r="B9501"/>
      <c r="C9501"/>
      <c r="D9501"/>
      <c r="E9501"/>
      <c r="F9501"/>
      <c r="G9501" s="20"/>
      <c r="H9501"/>
      <c r="I9501"/>
    </row>
    <row r="9502" spans="2:9" ht="15" x14ac:dyDescent="0.25">
      <c r="B9502"/>
      <c r="C9502"/>
      <c r="D9502"/>
      <c r="E9502"/>
      <c r="F9502"/>
      <c r="G9502" s="20"/>
      <c r="H9502"/>
      <c r="I9502"/>
    </row>
    <row r="9503" spans="2:9" ht="15" x14ac:dyDescent="0.25">
      <c r="B9503"/>
      <c r="C9503"/>
      <c r="D9503"/>
      <c r="E9503"/>
      <c r="F9503"/>
      <c r="G9503" s="20"/>
      <c r="H9503"/>
      <c r="I9503"/>
    </row>
    <row r="9504" spans="2:9" ht="15" x14ac:dyDescent="0.25">
      <c r="B9504"/>
      <c r="C9504"/>
      <c r="D9504"/>
      <c r="E9504"/>
      <c r="F9504"/>
      <c r="G9504" s="20"/>
      <c r="H9504"/>
      <c r="I9504"/>
    </row>
    <row r="9505" spans="2:9" ht="15" x14ac:dyDescent="0.25">
      <c r="B9505"/>
      <c r="C9505"/>
      <c r="D9505"/>
      <c r="E9505"/>
      <c r="F9505"/>
      <c r="G9505" s="20"/>
      <c r="H9505"/>
      <c r="I9505"/>
    </row>
    <row r="9506" spans="2:9" ht="15" x14ac:dyDescent="0.25">
      <c r="B9506"/>
      <c r="C9506"/>
      <c r="D9506"/>
      <c r="E9506"/>
      <c r="F9506"/>
      <c r="G9506" s="20"/>
      <c r="H9506"/>
      <c r="I9506"/>
    </row>
    <row r="9507" spans="2:9" ht="15" x14ac:dyDescent="0.25">
      <c r="B9507"/>
      <c r="C9507"/>
      <c r="D9507"/>
      <c r="E9507"/>
      <c r="F9507"/>
      <c r="G9507" s="20"/>
      <c r="H9507"/>
      <c r="I9507"/>
    </row>
    <row r="9508" spans="2:9" ht="15" x14ac:dyDescent="0.25">
      <c r="B9508"/>
      <c r="C9508"/>
      <c r="D9508"/>
      <c r="E9508"/>
      <c r="F9508"/>
      <c r="G9508" s="20"/>
      <c r="H9508"/>
      <c r="I9508"/>
    </row>
    <row r="9509" spans="2:9" ht="15" x14ac:dyDescent="0.25">
      <c r="B9509"/>
      <c r="C9509"/>
      <c r="D9509"/>
      <c r="E9509"/>
      <c r="F9509"/>
      <c r="G9509" s="20"/>
      <c r="H9509"/>
      <c r="I9509"/>
    </row>
    <row r="9510" spans="2:9" ht="15" x14ac:dyDescent="0.25">
      <c r="B9510"/>
      <c r="C9510"/>
      <c r="D9510"/>
      <c r="E9510"/>
      <c r="F9510"/>
      <c r="G9510" s="20"/>
      <c r="H9510"/>
      <c r="I9510"/>
    </row>
    <row r="9511" spans="2:9" ht="15" x14ac:dyDescent="0.25">
      <c r="B9511"/>
      <c r="C9511"/>
      <c r="D9511"/>
      <c r="E9511"/>
      <c r="F9511"/>
      <c r="G9511" s="20"/>
      <c r="H9511"/>
      <c r="I9511"/>
    </row>
    <row r="9512" spans="2:9" ht="15" x14ac:dyDescent="0.25">
      <c r="B9512"/>
      <c r="C9512"/>
      <c r="D9512"/>
      <c r="E9512"/>
      <c r="F9512"/>
      <c r="G9512" s="20"/>
      <c r="H9512"/>
      <c r="I9512"/>
    </row>
    <row r="9513" spans="2:9" ht="15" x14ac:dyDescent="0.25">
      <c r="B9513"/>
      <c r="C9513"/>
      <c r="D9513"/>
      <c r="E9513"/>
      <c r="F9513"/>
      <c r="G9513" s="20"/>
      <c r="H9513"/>
      <c r="I9513"/>
    </row>
    <row r="9514" spans="2:9" ht="15" x14ac:dyDescent="0.25">
      <c r="B9514"/>
      <c r="C9514"/>
      <c r="D9514"/>
      <c r="E9514"/>
      <c r="F9514"/>
      <c r="G9514" s="20"/>
      <c r="H9514"/>
      <c r="I9514"/>
    </row>
    <row r="9515" spans="2:9" ht="15" x14ac:dyDescent="0.25">
      <c r="B9515"/>
      <c r="C9515"/>
      <c r="D9515"/>
      <c r="E9515"/>
      <c r="F9515"/>
      <c r="G9515" s="20"/>
      <c r="H9515"/>
      <c r="I9515"/>
    </row>
    <row r="9516" spans="2:9" ht="15" x14ac:dyDescent="0.25">
      <c r="B9516"/>
      <c r="C9516"/>
      <c r="D9516"/>
      <c r="E9516"/>
      <c r="F9516"/>
      <c r="G9516" s="20"/>
      <c r="H9516"/>
      <c r="I9516"/>
    </row>
    <row r="9517" spans="2:9" ht="15" x14ac:dyDescent="0.25">
      <c r="B9517"/>
      <c r="C9517"/>
      <c r="D9517"/>
      <c r="E9517"/>
      <c r="F9517"/>
      <c r="G9517" s="20"/>
      <c r="H9517"/>
      <c r="I9517"/>
    </row>
    <row r="9518" spans="2:9" ht="15" x14ac:dyDescent="0.25">
      <c r="B9518"/>
      <c r="C9518"/>
      <c r="D9518"/>
      <c r="E9518"/>
      <c r="F9518"/>
      <c r="G9518" s="20"/>
      <c r="H9518"/>
      <c r="I9518"/>
    </row>
    <row r="9519" spans="2:9" ht="15" x14ac:dyDescent="0.25">
      <c r="B9519"/>
      <c r="C9519"/>
      <c r="D9519"/>
      <c r="E9519"/>
      <c r="F9519"/>
      <c r="G9519" s="20"/>
      <c r="H9519"/>
      <c r="I9519"/>
    </row>
    <row r="9520" spans="2:9" ht="15" x14ac:dyDescent="0.25">
      <c r="B9520"/>
      <c r="C9520"/>
      <c r="D9520"/>
      <c r="E9520"/>
      <c r="F9520"/>
      <c r="G9520" s="20"/>
      <c r="H9520"/>
      <c r="I9520"/>
    </row>
    <row r="9521" spans="2:9" ht="15" x14ac:dyDescent="0.25">
      <c r="B9521"/>
      <c r="C9521"/>
      <c r="D9521"/>
      <c r="E9521"/>
      <c r="F9521"/>
      <c r="G9521" s="20"/>
      <c r="H9521"/>
      <c r="I9521"/>
    </row>
    <row r="9522" spans="2:9" ht="15" x14ac:dyDescent="0.25">
      <c r="B9522"/>
      <c r="C9522"/>
      <c r="D9522"/>
      <c r="E9522"/>
      <c r="F9522"/>
      <c r="G9522" s="20"/>
      <c r="H9522"/>
      <c r="I9522"/>
    </row>
    <row r="9523" spans="2:9" ht="15" x14ac:dyDescent="0.25">
      <c r="B9523"/>
      <c r="C9523"/>
      <c r="D9523"/>
      <c r="E9523"/>
      <c r="F9523"/>
      <c r="G9523" s="20"/>
      <c r="H9523"/>
      <c r="I9523"/>
    </row>
    <row r="9524" spans="2:9" ht="15" x14ac:dyDescent="0.25">
      <c r="B9524"/>
      <c r="C9524"/>
      <c r="D9524"/>
      <c r="E9524"/>
      <c r="F9524"/>
      <c r="G9524" s="20"/>
      <c r="H9524"/>
      <c r="I9524"/>
    </row>
    <row r="9525" spans="2:9" ht="15" x14ac:dyDescent="0.25">
      <c r="B9525"/>
      <c r="C9525"/>
      <c r="D9525"/>
      <c r="E9525"/>
      <c r="F9525"/>
      <c r="G9525" s="20"/>
      <c r="H9525"/>
      <c r="I9525"/>
    </row>
    <row r="9526" spans="2:9" ht="15" x14ac:dyDescent="0.25">
      <c r="B9526"/>
      <c r="C9526"/>
      <c r="D9526"/>
      <c r="E9526"/>
      <c r="F9526"/>
      <c r="G9526" s="20"/>
      <c r="H9526"/>
      <c r="I9526"/>
    </row>
    <row r="9527" spans="2:9" ht="15" x14ac:dyDescent="0.25">
      <c r="B9527"/>
      <c r="C9527"/>
      <c r="D9527"/>
      <c r="E9527"/>
      <c r="F9527"/>
      <c r="G9527" s="20"/>
      <c r="H9527"/>
      <c r="I9527"/>
    </row>
    <row r="9528" spans="2:9" ht="15" x14ac:dyDescent="0.25">
      <c r="B9528"/>
      <c r="C9528"/>
      <c r="D9528"/>
      <c r="E9528"/>
      <c r="F9528"/>
      <c r="G9528" s="20"/>
      <c r="H9528"/>
      <c r="I9528"/>
    </row>
    <row r="9529" spans="2:9" ht="15" x14ac:dyDescent="0.25">
      <c r="B9529"/>
      <c r="C9529"/>
      <c r="D9529"/>
      <c r="E9529"/>
      <c r="F9529"/>
      <c r="G9529" s="20"/>
      <c r="H9529"/>
      <c r="I9529"/>
    </row>
    <row r="9530" spans="2:9" ht="15" x14ac:dyDescent="0.25">
      <c r="B9530"/>
      <c r="C9530"/>
      <c r="D9530"/>
      <c r="E9530"/>
      <c r="F9530"/>
      <c r="G9530" s="20"/>
      <c r="H9530"/>
      <c r="I9530"/>
    </row>
    <row r="9531" spans="2:9" ht="15" x14ac:dyDescent="0.25">
      <c r="B9531"/>
      <c r="C9531"/>
      <c r="D9531"/>
      <c r="E9531"/>
      <c r="F9531"/>
      <c r="G9531" s="20"/>
      <c r="H9531"/>
      <c r="I9531"/>
    </row>
    <row r="9532" spans="2:9" ht="15" x14ac:dyDescent="0.25">
      <c r="B9532"/>
      <c r="C9532"/>
      <c r="D9532"/>
      <c r="E9532"/>
      <c r="F9532"/>
      <c r="G9532" s="20"/>
      <c r="H9532"/>
      <c r="I9532"/>
    </row>
    <row r="9533" spans="2:9" ht="15" x14ac:dyDescent="0.25">
      <c r="B9533"/>
      <c r="C9533"/>
      <c r="D9533"/>
      <c r="E9533"/>
      <c r="F9533"/>
      <c r="G9533" s="20"/>
      <c r="H9533"/>
      <c r="I9533"/>
    </row>
    <row r="9534" spans="2:9" ht="15" x14ac:dyDescent="0.25">
      <c r="B9534"/>
      <c r="C9534"/>
      <c r="D9534"/>
      <c r="E9534"/>
      <c r="F9534"/>
      <c r="G9534" s="20"/>
      <c r="H9534"/>
      <c r="I9534"/>
    </row>
    <row r="9535" spans="2:9" ht="15" x14ac:dyDescent="0.25">
      <c r="B9535"/>
      <c r="C9535"/>
      <c r="D9535"/>
      <c r="E9535"/>
      <c r="F9535"/>
      <c r="G9535" s="20"/>
      <c r="H9535"/>
      <c r="I9535"/>
    </row>
    <row r="9536" spans="2:9" ht="15" x14ac:dyDescent="0.25">
      <c r="B9536"/>
      <c r="C9536"/>
      <c r="D9536"/>
      <c r="E9536"/>
      <c r="F9536"/>
      <c r="G9536" s="20"/>
      <c r="H9536"/>
      <c r="I9536"/>
    </row>
    <row r="9537" spans="2:9" ht="15" x14ac:dyDescent="0.25">
      <c r="B9537"/>
      <c r="C9537"/>
      <c r="D9537"/>
      <c r="E9537"/>
      <c r="F9537"/>
      <c r="G9537" s="20"/>
      <c r="H9537"/>
      <c r="I9537"/>
    </row>
    <row r="9538" spans="2:9" ht="15" x14ac:dyDescent="0.25">
      <c r="B9538"/>
      <c r="C9538"/>
      <c r="D9538"/>
      <c r="E9538"/>
      <c r="F9538"/>
      <c r="G9538" s="20"/>
      <c r="H9538"/>
      <c r="I9538"/>
    </row>
    <row r="9539" spans="2:9" ht="15" x14ac:dyDescent="0.25">
      <c r="B9539"/>
      <c r="C9539"/>
      <c r="D9539"/>
      <c r="E9539"/>
      <c r="F9539"/>
      <c r="G9539" s="20"/>
      <c r="H9539"/>
      <c r="I9539"/>
    </row>
    <row r="9540" spans="2:9" ht="15" x14ac:dyDescent="0.25">
      <c r="B9540"/>
      <c r="C9540"/>
      <c r="D9540"/>
      <c r="E9540"/>
      <c r="F9540"/>
      <c r="G9540" s="20"/>
      <c r="H9540"/>
      <c r="I9540"/>
    </row>
    <row r="9541" spans="2:9" ht="15" x14ac:dyDescent="0.25">
      <c r="B9541"/>
      <c r="C9541"/>
      <c r="D9541"/>
      <c r="E9541"/>
      <c r="F9541"/>
      <c r="G9541" s="20"/>
      <c r="H9541"/>
      <c r="I9541"/>
    </row>
    <row r="9542" spans="2:9" ht="15" x14ac:dyDescent="0.25">
      <c r="B9542"/>
      <c r="C9542"/>
      <c r="D9542"/>
      <c r="E9542"/>
      <c r="F9542"/>
      <c r="G9542" s="20"/>
      <c r="H9542"/>
      <c r="I9542"/>
    </row>
    <row r="9543" spans="2:9" ht="15" x14ac:dyDescent="0.25">
      <c r="B9543"/>
      <c r="C9543"/>
      <c r="D9543"/>
      <c r="E9543"/>
      <c r="F9543"/>
      <c r="G9543" s="20"/>
      <c r="H9543"/>
      <c r="I9543"/>
    </row>
    <row r="9544" spans="2:9" ht="15" x14ac:dyDescent="0.25">
      <c r="B9544"/>
      <c r="C9544"/>
      <c r="D9544"/>
      <c r="E9544"/>
      <c r="F9544"/>
      <c r="G9544" s="20"/>
      <c r="H9544"/>
      <c r="I9544"/>
    </row>
    <row r="9545" spans="2:9" ht="15" x14ac:dyDescent="0.25">
      <c r="B9545"/>
      <c r="C9545"/>
      <c r="D9545"/>
      <c r="E9545"/>
      <c r="F9545"/>
      <c r="G9545" s="20"/>
      <c r="H9545"/>
      <c r="I9545"/>
    </row>
    <row r="9546" spans="2:9" ht="15" x14ac:dyDescent="0.25">
      <c r="B9546"/>
      <c r="C9546"/>
      <c r="D9546"/>
      <c r="E9546"/>
      <c r="F9546"/>
      <c r="G9546" s="20"/>
      <c r="H9546"/>
      <c r="I9546"/>
    </row>
    <row r="9547" spans="2:9" ht="15" x14ac:dyDescent="0.25">
      <c r="B9547"/>
      <c r="C9547"/>
      <c r="D9547"/>
      <c r="E9547"/>
      <c r="F9547"/>
      <c r="G9547" s="20"/>
      <c r="H9547"/>
      <c r="I9547"/>
    </row>
    <row r="9548" spans="2:9" ht="15" x14ac:dyDescent="0.25">
      <c r="B9548"/>
      <c r="C9548"/>
      <c r="D9548"/>
      <c r="E9548"/>
      <c r="F9548"/>
      <c r="G9548" s="20"/>
      <c r="H9548"/>
      <c r="I9548"/>
    </row>
    <row r="9549" spans="2:9" ht="15" x14ac:dyDescent="0.25">
      <c r="B9549"/>
      <c r="C9549"/>
      <c r="D9549"/>
      <c r="E9549"/>
      <c r="F9549"/>
      <c r="G9549" s="20"/>
      <c r="H9549"/>
      <c r="I9549"/>
    </row>
    <row r="9550" spans="2:9" ht="15" x14ac:dyDescent="0.25">
      <c r="B9550"/>
      <c r="C9550"/>
      <c r="D9550"/>
      <c r="E9550"/>
      <c r="F9550"/>
      <c r="G9550" s="20"/>
      <c r="H9550"/>
      <c r="I9550"/>
    </row>
    <row r="9551" spans="2:9" ht="15" x14ac:dyDescent="0.25">
      <c r="B9551"/>
      <c r="C9551"/>
      <c r="D9551"/>
      <c r="E9551"/>
      <c r="F9551"/>
      <c r="G9551" s="20"/>
      <c r="H9551"/>
      <c r="I9551"/>
    </row>
    <row r="9552" spans="2:9" ht="15" x14ac:dyDescent="0.25">
      <c r="B9552"/>
      <c r="C9552"/>
      <c r="D9552"/>
      <c r="E9552"/>
      <c r="F9552"/>
      <c r="G9552" s="20"/>
      <c r="H9552"/>
      <c r="I9552"/>
    </row>
    <row r="9553" spans="2:9" ht="15" x14ac:dyDescent="0.25">
      <c r="B9553"/>
      <c r="C9553"/>
      <c r="D9553"/>
      <c r="E9553"/>
      <c r="F9553"/>
      <c r="G9553" s="20"/>
      <c r="H9553"/>
      <c r="I9553"/>
    </row>
    <row r="9554" spans="2:9" ht="15" x14ac:dyDescent="0.25">
      <c r="B9554"/>
      <c r="C9554"/>
      <c r="D9554"/>
      <c r="E9554"/>
      <c r="F9554"/>
      <c r="G9554" s="20"/>
      <c r="H9554"/>
      <c r="I9554"/>
    </row>
    <row r="9555" spans="2:9" ht="15" x14ac:dyDescent="0.25">
      <c r="B9555"/>
      <c r="C9555"/>
      <c r="D9555"/>
      <c r="E9555"/>
      <c r="F9555"/>
      <c r="G9555" s="20"/>
      <c r="H9555"/>
      <c r="I9555"/>
    </row>
    <row r="9556" spans="2:9" ht="15" x14ac:dyDescent="0.25">
      <c r="B9556"/>
      <c r="C9556"/>
      <c r="D9556"/>
      <c r="E9556"/>
      <c r="F9556"/>
      <c r="G9556" s="20"/>
      <c r="H9556"/>
      <c r="I9556"/>
    </row>
    <row r="9557" spans="2:9" ht="15" x14ac:dyDescent="0.25">
      <c r="B9557"/>
      <c r="C9557"/>
      <c r="D9557"/>
      <c r="E9557"/>
      <c r="F9557"/>
      <c r="G9557" s="20"/>
      <c r="H9557"/>
      <c r="I9557"/>
    </row>
    <row r="9558" spans="2:9" ht="15" x14ac:dyDescent="0.25">
      <c r="B9558"/>
      <c r="C9558"/>
      <c r="D9558"/>
      <c r="E9558"/>
      <c r="F9558"/>
      <c r="G9558" s="20"/>
      <c r="H9558"/>
      <c r="I9558"/>
    </row>
    <row r="9559" spans="2:9" ht="15" x14ac:dyDescent="0.25">
      <c r="B9559"/>
      <c r="C9559"/>
      <c r="D9559"/>
      <c r="E9559"/>
      <c r="F9559"/>
      <c r="G9559" s="20"/>
      <c r="H9559"/>
      <c r="I9559"/>
    </row>
    <row r="9560" spans="2:9" ht="15" x14ac:dyDescent="0.25">
      <c r="B9560"/>
      <c r="C9560"/>
      <c r="D9560"/>
      <c r="E9560"/>
      <c r="F9560"/>
      <c r="G9560" s="20"/>
      <c r="H9560"/>
      <c r="I9560"/>
    </row>
    <row r="9561" spans="2:9" ht="15" x14ac:dyDescent="0.25">
      <c r="B9561"/>
      <c r="C9561"/>
      <c r="D9561"/>
      <c r="E9561"/>
      <c r="F9561"/>
      <c r="G9561" s="20"/>
      <c r="H9561"/>
      <c r="I9561"/>
    </row>
    <row r="9562" spans="2:9" ht="15" x14ac:dyDescent="0.25">
      <c r="B9562"/>
      <c r="C9562"/>
      <c r="D9562"/>
      <c r="E9562"/>
      <c r="F9562"/>
      <c r="G9562" s="20"/>
      <c r="H9562"/>
      <c r="I9562"/>
    </row>
    <row r="9563" spans="2:9" ht="15" x14ac:dyDescent="0.25">
      <c r="B9563"/>
      <c r="C9563"/>
      <c r="D9563"/>
      <c r="E9563"/>
      <c r="F9563"/>
      <c r="G9563" s="20"/>
      <c r="H9563"/>
      <c r="I9563"/>
    </row>
    <row r="9564" spans="2:9" ht="15" x14ac:dyDescent="0.25">
      <c r="B9564"/>
      <c r="C9564"/>
      <c r="D9564"/>
      <c r="E9564"/>
      <c r="F9564"/>
      <c r="G9564" s="20"/>
      <c r="H9564"/>
      <c r="I9564"/>
    </row>
    <row r="9565" spans="2:9" ht="15" x14ac:dyDescent="0.25">
      <c r="B9565"/>
      <c r="C9565"/>
      <c r="D9565"/>
      <c r="E9565"/>
      <c r="F9565"/>
      <c r="G9565" s="20"/>
      <c r="H9565"/>
      <c r="I9565"/>
    </row>
    <row r="9566" spans="2:9" ht="15" x14ac:dyDescent="0.25">
      <c r="B9566"/>
      <c r="C9566"/>
      <c r="D9566"/>
      <c r="E9566"/>
      <c r="F9566"/>
      <c r="G9566" s="20"/>
      <c r="H9566"/>
      <c r="I9566"/>
    </row>
    <row r="9567" spans="2:9" ht="15" x14ac:dyDescent="0.25">
      <c r="B9567"/>
      <c r="C9567"/>
      <c r="D9567"/>
      <c r="E9567"/>
      <c r="F9567"/>
      <c r="G9567" s="20"/>
      <c r="H9567"/>
      <c r="I9567"/>
    </row>
    <row r="9568" spans="2:9" ht="15" x14ac:dyDescent="0.25">
      <c r="B9568"/>
      <c r="C9568"/>
      <c r="D9568"/>
      <c r="E9568"/>
      <c r="F9568"/>
      <c r="G9568" s="20"/>
      <c r="H9568"/>
      <c r="I9568"/>
    </row>
    <row r="9569" spans="2:9" ht="15" x14ac:dyDescent="0.25">
      <c r="B9569"/>
      <c r="C9569"/>
      <c r="D9569"/>
      <c r="E9569"/>
      <c r="F9569"/>
      <c r="G9569" s="20"/>
      <c r="H9569"/>
      <c r="I9569"/>
    </row>
    <row r="9570" spans="2:9" ht="15" x14ac:dyDescent="0.25">
      <c r="B9570"/>
      <c r="C9570"/>
      <c r="D9570"/>
      <c r="E9570"/>
      <c r="F9570"/>
      <c r="G9570" s="20"/>
      <c r="H9570"/>
      <c r="I9570"/>
    </row>
    <row r="9571" spans="2:9" ht="15" x14ac:dyDescent="0.25">
      <c r="B9571"/>
      <c r="C9571"/>
      <c r="D9571"/>
      <c r="E9571"/>
      <c r="F9571"/>
      <c r="G9571" s="20"/>
      <c r="H9571"/>
      <c r="I9571"/>
    </row>
    <row r="9572" spans="2:9" ht="15" x14ac:dyDescent="0.25">
      <c r="B9572"/>
      <c r="C9572"/>
      <c r="D9572"/>
      <c r="E9572"/>
      <c r="F9572"/>
      <c r="G9572" s="20"/>
      <c r="H9572"/>
      <c r="I9572"/>
    </row>
    <row r="9573" spans="2:9" ht="15" x14ac:dyDescent="0.25">
      <c r="B9573"/>
      <c r="C9573"/>
      <c r="D9573"/>
      <c r="E9573"/>
      <c r="F9573"/>
      <c r="G9573" s="20"/>
      <c r="H9573"/>
      <c r="I9573"/>
    </row>
    <row r="9574" spans="2:9" ht="15" x14ac:dyDescent="0.25">
      <c r="B9574"/>
      <c r="C9574"/>
      <c r="D9574"/>
      <c r="E9574"/>
      <c r="F9574"/>
      <c r="G9574" s="20"/>
      <c r="H9574"/>
      <c r="I9574"/>
    </row>
    <row r="9575" spans="2:9" ht="15" x14ac:dyDescent="0.25">
      <c r="B9575"/>
      <c r="C9575"/>
      <c r="D9575"/>
      <c r="E9575"/>
      <c r="F9575"/>
      <c r="G9575" s="20"/>
      <c r="H9575"/>
      <c r="I9575"/>
    </row>
    <row r="9576" spans="2:9" ht="15" x14ac:dyDescent="0.25">
      <c r="B9576"/>
      <c r="C9576"/>
      <c r="D9576"/>
      <c r="E9576"/>
      <c r="F9576"/>
      <c r="G9576" s="20"/>
      <c r="H9576"/>
      <c r="I9576"/>
    </row>
    <row r="9577" spans="2:9" ht="15" x14ac:dyDescent="0.25">
      <c r="B9577"/>
      <c r="C9577"/>
      <c r="D9577"/>
      <c r="E9577"/>
      <c r="F9577"/>
      <c r="G9577" s="20"/>
      <c r="H9577"/>
      <c r="I9577"/>
    </row>
    <row r="9578" spans="2:9" ht="15" x14ac:dyDescent="0.25">
      <c r="B9578"/>
      <c r="C9578"/>
      <c r="D9578"/>
      <c r="E9578"/>
      <c r="F9578"/>
      <c r="G9578" s="20"/>
      <c r="H9578"/>
      <c r="I9578"/>
    </row>
    <row r="9579" spans="2:9" ht="15" x14ac:dyDescent="0.25">
      <c r="B9579"/>
      <c r="C9579"/>
      <c r="D9579"/>
      <c r="E9579"/>
      <c r="F9579"/>
      <c r="G9579" s="20"/>
      <c r="H9579"/>
      <c r="I9579"/>
    </row>
    <row r="9580" spans="2:9" ht="15" x14ac:dyDescent="0.25">
      <c r="B9580"/>
      <c r="C9580"/>
      <c r="D9580"/>
      <c r="E9580"/>
      <c r="F9580"/>
      <c r="G9580" s="20"/>
      <c r="H9580"/>
      <c r="I9580"/>
    </row>
    <row r="9581" spans="2:9" ht="15" x14ac:dyDescent="0.25">
      <c r="B9581"/>
      <c r="C9581"/>
      <c r="D9581"/>
      <c r="E9581"/>
      <c r="F9581"/>
      <c r="G9581" s="20"/>
      <c r="H9581"/>
      <c r="I9581"/>
    </row>
    <row r="9582" spans="2:9" ht="15" x14ac:dyDescent="0.25">
      <c r="B9582"/>
      <c r="C9582"/>
      <c r="D9582"/>
      <c r="E9582"/>
      <c r="F9582"/>
      <c r="G9582" s="20"/>
      <c r="H9582"/>
      <c r="I9582"/>
    </row>
    <row r="9583" spans="2:9" ht="15" x14ac:dyDescent="0.25">
      <c r="B9583"/>
      <c r="C9583"/>
      <c r="D9583"/>
      <c r="E9583"/>
      <c r="F9583"/>
      <c r="G9583" s="20"/>
      <c r="H9583"/>
      <c r="I9583"/>
    </row>
    <row r="9584" spans="2:9" ht="15" x14ac:dyDescent="0.25">
      <c r="B9584"/>
      <c r="C9584"/>
      <c r="D9584"/>
      <c r="E9584"/>
      <c r="F9584"/>
      <c r="G9584" s="20"/>
      <c r="H9584"/>
      <c r="I9584"/>
    </row>
    <row r="9585" spans="2:9" ht="15" x14ac:dyDescent="0.25">
      <c r="B9585"/>
      <c r="C9585"/>
      <c r="D9585"/>
      <c r="E9585"/>
      <c r="F9585"/>
      <c r="G9585" s="20"/>
      <c r="H9585"/>
      <c r="I9585"/>
    </row>
    <row r="9586" spans="2:9" ht="15" x14ac:dyDescent="0.25">
      <c r="B9586"/>
      <c r="C9586"/>
      <c r="D9586"/>
      <c r="E9586"/>
      <c r="F9586"/>
      <c r="G9586" s="20"/>
      <c r="H9586"/>
      <c r="I9586"/>
    </row>
    <row r="9587" spans="2:9" ht="15" x14ac:dyDescent="0.25">
      <c r="B9587"/>
      <c r="C9587"/>
      <c r="D9587"/>
      <c r="E9587"/>
      <c r="F9587"/>
      <c r="G9587" s="20"/>
      <c r="H9587"/>
      <c r="I9587"/>
    </row>
    <row r="9588" spans="2:9" ht="15" x14ac:dyDescent="0.25">
      <c r="B9588"/>
      <c r="C9588"/>
      <c r="D9588"/>
      <c r="E9588"/>
      <c r="F9588"/>
      <c r="G9588" s="20"/>
      <c r="H9588"/>
      <c r="I9588"/>
    </row>
    <row r="9589" spans="2:9" ht="15" x14ac:dyDescent="0.25">
      <c r="B9589"/>
      <c r="C9589"/>
      <c r="D9589"/>
      <c r="E9589"/>
      <c r="F9589"/>
      <c r="G9589" s="20"/>
      <c r="H9589"/>
      <c r="I9589"/>
    </row>
    <row r="9590" spans="2:9" ht="15" x14ac:dyDescent="0.25">
      <c r="B9590"/>
      <c r="C9590"/>
      <c r="D9590"/>
      <c r="E9590"/>
      <c r="F9590"/>
      <c r="G9590" s="20"/>
      <c r="H9590"/>
      <c r="I9590"/>
    </row>
    <row r="9591" spans="2:9" ht="15" x14ac:dyDescent="0.25">
      <c r="B9591"/>
      <c r="C9591"/>
      <c r="D9591"/>
      <c r="E9591"/>
      <c r="F9591"/>
      <c r="G9591" s="20"/>
      <c r="H9591"/>
      <c r="I9591"/>
    </row>
    <row r="9592" spans="2:9" ht="15" x14ac:dyDescent="0.25">
      <c r="B9592"/>
      <c r="C9592"/>
      <c r="D9592"/>
      <c r="E9592"/>
      <c r="F9592"/>
      <c r="G9592" s="20"/>
      <c r="H9592"/>
      <c r="I9592"/>
    </row>
    <row r="9593" spans="2:9" ht="15" x14ac:dyDescent="0.25">
      <c r="B9593"/>
      <c r="C9593"/>
      <c r="D9593"/>
      <c r="E9593"/>
      <c r="F9593"/>
      <c r="G9593" s="20"/>
      <c r="H9593"/>
      <c r="I9593"/>
    </row>
    <row r="9594" spans="2:9" ht="15" x14ac:dyDescent="0.25">
      <c r="B9594"/>
      <c r="C9594"/>
      <c r="D9594"/>
      <c r="E9594"/>
      <c r="F9594"/>
      <c r="G9594" s="20"/>
      <c r="H9594"/>
      <c r="I9594"/>
    </row>
    <row r="9595" spans="2:9" ht="15" x14ac:dyDescent="0.25">
      <c r="B9595"/>
      <c r="C9595"/>
      <c r="D9595"/>
      <c r="E9595"/>
      <c r="F9595"/>
      <c r="G9595" s="20"/>
      <c r="H9595"/>
      <c r="I9595"/>
    </row>
    <row r="9596" spans="2:9" ht="15" x14ac:dyDescent="0.25">
      <c r="B9596"/>
      <c r="C9596"/>
      <c r="D9596"/>
      <c r="E9596"/>
      <c r="F9596"/>
      <c r="G9596" s="20"/>
      <c r="H9596"/>
      <c r="I9596"/>
    </row>
    <row r="9597" spans="2:9" ht="15" x14ac:dyDescent="0.25">
      <c r="B9597"/>
      <c r="C9597"/>
      <c r="D9597"/>
      <c r="E9597"/>
      <c r="F9597"/>
      <c r="G9597" s="20"/>
      <c r="H9597"/>
      <c r="I9597"/>
    </row>
    <row r="9598" spans="2:9" ht="15" x14ac:dyDescent="0.25">
      <c r="B9598"/>
      <c r="C9598"/>
      <c r="D9598"/>
      <c r="E9598"/>
      <c r="F9598"/>
      <c r="G9598" s="20"/>
      <c r="H9598"/>
      <c r="I9598"/>
    </row>
    <row r="9599" spans="2:9" ht="15" x14ac:dyDescent="0.25">
      <c r="B9599"/>
      <c r="C9599"/>
      <c r="D9599"/>
      <c r="E9599"/>
      <c r="F9599"/>
      <c r="G9599" s="20"/>
      <c r="H9599"/>
      <c r="I9599"/>
    </row>
    <row r="9600" spans="2:9" ht="15" x14ac:dyDescent="0.25">
      <c r="B9600"/>
      <c r="C9600"/>
      <c r="D9600"/>
      <c r="E9600"/>
      <c r="F9600"/>
      <c r="G9600" s="20"/>
      <c r="H9600"/>
      <c r="I9600"/>
    </row>
    <row r="9601" spans="2:9" ht="15" x14ac:dyDescent="0.25">
      <c r="B9601"/>
      <c r="C9601"/>
      <c r="D9601"/>
      <c r="E9601"/>
      <c r="F9601"/>
      <c r="G9601" s="20"/>
      <c r="H9601"/>
      <c r="I9601"/>
    </row>
    <row r="9602" spans="2:9" ht="15" x14ac:dyDescent="0.25">
      <c r="B9602"/>
      <c r="C9602"/>
      <c r="D9602"/>
      <c r="E9602"/>
      <c r="F9602"/>
      <c r="G9602" s="20"/>
      <c r="H9602"/>
      <c r="I9602"/>
    </row>
    <row r="9603" spans="2:9" ht="15" x14ac:dyDescent="0.25">
      <c r="B9603"/>
      <c r="C9603"/>
      <c r="D9603"/>
      <c r="E9603"/>
      <c r="F9603"/>
      <c r="G9603" s="20"/>
      <c r="H9603"/>
      <c r="I9603"/>
    </row>
    <row r="9604" spans="2:9" ht="15" x14ac:dyDescent="0.25">
      <c r="B9604"/>
      <c r="C9604"/>
      <c r="D9604"/>
      <c r="E9604"/>
      <c r="F9604"/>
      <c r="G9604" s="20"/>
      <c r="H9604"/>
      <c r="I9604"/>
    </row>
    <row r="9605" spans="2:9" ht="15" x14ac:dyDescent="0.25">
      <c r="B9605"/>
      <c r="C9605"/>
      <c r="D9605"/>
      <c r="E9605"/>
      <c r="F9605"/>
      <c r="G9605" s="20"/>
      <c r="H9605"/>
      <c r="I9605"/>
    </row>
    <row r="9606" spans="2:9" ht="15" x14ac:dyDescent="0.25">
      <c r="B9606"/>
      <c r="C9606"/>
      <c r="D9606"/>
      <c r="E9606"/>
      <c r="F9606"/>
      <c r="G9606" s="20"/>
      <c r="H9606"/>
      <c r="I9606"/>
    </row>
    <row r="9607" spans="2:9" ht="15" x14ac:dyDescent="0.25">
      <c r="B9607"/>
      <c r="C9607"/>
      <c r="D9607"/>
      <c r="E9607"/>
      <c r="F9607"/>
      <c r="G9607" s="20"/>
      <c r="H9607"/>
      <c r="I9607"/>
    </row>
    <row r="9608" spans="2:9" ht="15" x14ac:dyDescent="0.25">
      <c r="B9608"/>
      <c r="C9608"/>
      <c r="D9608"/>
      <c r="E9608"/>
      <c r="F9608"/>
      <c r="G9608" s="20"/>
      <c r="H9608"/>
      <c r="I9608"/>
    </row>
    <row r="9609" spans="2:9" ht="15" x14ac:dyDescent="0.25">
      <c r="B9609"/>
      <c r="C9609"/>
      <c r="D9609"/>
      <c r="E9609"/>
      <c r="F9609"/>
      <c r="G9609" s="20"/>
      <c r="H9609"/>
      <c r="I9609"/>
    </row>
    <row r="9610" spans="2:9" ht="15" x14ac:dyDescent="0.25">
      <c r="B9610"/>
      <c r="C9610"/>
      <c r="D9610"/>
      <c r="E9610"/>
      <c r="F9610"/>
      <c r="G9610" s="20"/>
      <c r="H9610"/>
      <c r="I9610"/>
    </row>
    <row r="9611" spans="2:9" ht="15" x14ac:dyDescent="0.25">
      <c r="B9611"/>
      <c r="C9611"/>
      <c r="D9611"/>
      <c r="E9611"/>
      <c r="F9611"/>
      <c r="G9611" s="20"/>
      <c r="H9611"/>
      <c r="I9611"/>
    </row>
    <row r="9612" spans="2:9" ht="15" x14ac:dyDescent="0.25">
      <c r="B9612"/>
      <c r="C9612"/>
      <c r="D9612"/>
      <c r="E9612"/>
      <c r="F9612"/>
      <c r="G9612" s="20"/>
      <c r="H9612"/>
      <c r="I9612"/>
    </row>
    <row r="9613" spans="2:9" ht="15" x14ac:dyDescent="0.25">
      <c r="B9613"/>
      <c r="C9613"/>
      <c r="D9613"/>
      <c r="E9613"/>
      <c r="F9613"/>
      <c r="G9613" s="20"/>
      <c r="H9613"/>
      <c r="I9613"/>
    </row>
    <row r="9614" spans="2:9" ht="15" x14ac:dyDescent="0.25">
      <c r="B9614"/>
      <c r="C9614"/>
      <c r="D9614"/>
      <c r="E9614"/>
      <c r="F9614"/>
      <c r="G9614" s="20"/>
      <c r="H9614"/>
      <c r="I9614"/>
    </row>
    <row r="9615" spans="2:9" ht="15" x14ac:dyDescent="0.25">
      <c r="B9615"/>
      <c r="C9615"/>
      <c r="D9615"/>
      <c r="E9615"/>
      <c r="F9615"/>
      <c r="G9615" s="20"/>
      <c r="H9615"/>
      <c r="I9615"/>
    </row>
    <row r="9616" spans="2:9" ht="15" x14ac:dyDescent="0.25">
      <c r="B9616"/>
      <c r="C9616"/>
      <c r="D9616"/>
      <c r="E9616"/>
      <c r="F9616"/>
      <c r="G9616" s="20"/>
      <c r="H9616"/>
      <c r="I9616"/>
    </row>
    <row r="9617" spans="2:9" ht="15" x14ac:dyDescent="0.25">
      <c r="B9617"/>
      <c r="C9617"/>
      <c r="D9617"/>
      <c r="E9617"/>
      <c r="F9617"/>
      <c r="G9617" s="20"/>
      <c r="H9617"/>
      <c r="I9617"/>
    </row>
    <row r="9618" spans="2:9" ht="15" x14ac:dyDescent="0.25">
      <c r="B9618"/>
      <c r="C9618"/>
      <c r="D9618"/>
      <c r="E9618"/>
      <c r="F9618"/>
      <c r="G9618" s="20"/>
      <c r="H9618"/>
      <c r="I9618"/>
    </row>
    <row r="9619" spans="2:9" ht="15" x14ac:dyDescent="0.25">
      <c r="B9619"/>
      <c r="C9619"/>
      <c r="D9619"/>
      <c r="E9619"/>
      <c r="F9619"/>
      <c r="G9619" s="20"/>
      <c r="H9619"/>
      <c r="I9619"/>
    </row>
    <row r="9620" spans="2:9" ht="15" x14ac:dyDescent="0.25">
      <c r="B9620"/>
      <c r="C9620"/>
      <c r="D9620"/>
      <c r="E9620"/>
      <c r="F9620"/>
      <c r="G9620" s="20"/>
      <c r="H9620"/>
      <c r="I9620"/>
    </row>
    <row r="9621" spans="2:9" ht="15" x14ac:dyDescent="0.25">
      <c r="B9621"/>
      <c r="C9621"/>
      <c r="D9621"/>
      <c r="E9621"/>
      <c r="F9621"/>
      <c r="G9621" s="20"/>
      <c r="H9621"/>
      <c r="I9621"/>
    </row>
    <row r="9622" spans="2:9" ht="15" x14ac:dyDescent="0.25">
      <c r="B9622"/>
      <c r="C9622"/>
      <c r="D9622"/>
      <c r="E9622"/>
      <c r="F9622"/>
      <c r="G9622" s="20"/>
      <c r="H9622"/>
      <c r="I9622"/>
    </row>
    <row r="9623" spans="2:9" ht="15" x14ac:dyDescent="0.25">
      <c r="B9623"/>
      <c r="C9623"/>
      <c r="D9623"/>
      <c r="E9623"/>
      <c r="F9623"/>
      <c r="G9623" s="20"/>
      <c r="H9623"/>
      <c r="I9623"/>
    </row>
    <row r="9624" spans="2:9" ht="15" x14ac:dyDescent="0.25">
      <c r="B9624"/>
      <c r="C9624"/>
      <c r="D9624"/>
      <c r="E9624"/>
      <c r="F9624"/>
      <c r="G9624" s="20"/>
      <c r="H9624"/>
      <c r="I9624"/>
    </row>
    <row r="9625" spans="2:9" ht="15" x14ac:dyDescent="0.25">
      <c r="B9625"/>
      <c r="C9625"/>
      <c r="D9625"/>
      <c r="E9625"/>
      <c r="F9625"/>
      <c r="G9625" s="20"/>
      <c r="H9625"/>
      <c r="I9625"/>
    </row>
    <row r="9626" spans="2:9" ht="15" x14ac:dyDescent="0.25">
      <c r="B9626"/>
      <c r="C9626"/>
      <c r="D9626"/>
      <c r="E9626"/>
      <c r="F9626"/>
      <c r="G9626" s="20"/>
      <c r="H9626"/>
      <c r="I9626"/>
    </row>
    <row r="9627" spans="2:9" ht="15" x14ac:dyDescent="0.25">
      <c r="B9627"/>
      <c r="C9627"/>
      <c r="D9627"/>
      <c r="E9627"/>
      <c r="F9627"/>
      <c r="G9627" s="20"/>
      <c r="H9627"/>
      <c r="I9627"/>
    </row>
    <row r="9628" spans="2:9" ht="15" x14ac:dyDescent="0.25">
      <c r="B9628"/>
      <c r="C9628"/>
      <c r="D9628"/>
      <c r="E9628"/>
      <c r="F9628"/>
      <c r="G9628" s="20"/>
      <c r="H9628"/>
      <c r="I9628"/>
    </row>
    <row r="9629" spans="2:9" ht="15" x14ac:dyDescent="0.25">
      <c r="B9629"/>
      <c r="C9629"/>
      <c r="D9629"/>
      <c r="E9629"/>
      <c r="F9629"/>
      <c r="G9629" s="20"/>
      <c r="H9629"/>
      <c r="I9629"/>
    </row>
    <row r="9630" spans="2:9" ht="15" x14ac:dyDescent="0.25">
      <c r="B9630"/>
      <c r="C9630"/>
      <c r="D9630"/>
      <c r="E9630"/>
      <c r="F9630"/>
      <c r="G9630" s="20"/>
      <c r="H9630"/>
      <c r="I9630"/>
    </row>
    <row r="9631" spans="2:9" ht="15" x14ac:dyDescent="0.25">
      <c r="B9631"/>
      <c r="C9631"/>
      <c r="D9631"/>
      <c r="E9631"/>
      <c r="F9631"/>
      <c r="G9631" s="20"/>
      <c r="H9631"/>
      <c r="I9631"/>
    </row>
    <row r="9632" spans="2:9" ht="15" x14ac:dyDescent="0.25">
      <c r="B9632"/>
      <c r="C9632"/>
      <c r="D9632"/>
      <c r="E9632"/>
      <c r="F9632"/>
      <c r="G9632" s="20"/>
      <c r="H9632"/>
      <c r="I9632"/>
    </row>
    <row r="9633" spans="2:9" ht="15" x14ac:dyDescent="0.25">
      <c r="B9633"/>
      <c r="C9633"/>
      <c r="D9633"/>
      <c r="E9633"/>
      <c r="F9633"/>
      <c r="G9633" s="20"/>
      <c r="H9633"/>
      <c r="I9633"/>
    </row>
    <row r="9634" spans="2:9" ht="15" x14ac:dyDescent="0.25">
      <c r="B9634"/>
      <c r="C9634"/>
      <c r="D9634"/>
      <c r="E9634"/>
      <c r="F9634"/>
      <c r="G9634" s="20"/>
      <c r="H9634"/>
      <c r="I9634"/>
    </row>
    <row r="9635" spans="2:9" ht="15" x14ac:dyDescent="0.25">
      <c r="B9635"/>
      <c r="C9635"/>
      <c r="D9635"/>
      <c r="E9635"/>
      <c r="F9635"/>
      <c r="G9635" s="20"/>
      <c r="H9635"/>
      <c r="I9635"/>
    </row>
    <row r="9636" spans="2:9" ht="15" x14ac:dyDescent="0.25">
      <c r="B9636"/>
      <c r="C9636"/>
      <c r="D9636"/>
      <c r="E9636"/>
      <c r="F9636"/>
      <c r="G9636" s="20"/>
      <c r="H9636"/>
      <c r="I9636"/>
    </row>
    <row r="9637" spans="2:9" ht="15" x14ac:dyDescent="0.25">
      <c r="B9637"/>
      <c r="C9637"/>
      <c r="D9637"/>
      <c r="E9637"/>
      <c r="F9637"/>
      <c r="G9637" s="20"/>
      <c r="H9637"/>
      <c r="I9637"/>
    </row>
    <row r="9638" spans="2:9" ht="15" x14ac:dyDescent="0.25">
      <c r="B9638"/>
      <c r="C9638"/>
      <c r="D9638"/>
      <c r="E9638"/>
      <c r="F9638"/>
      <c r="G9638" s="20"/>
      <c r="H9638"/>
      <c r="I9638"/>
    </row>
    <row r="9639" spans="2:9" ht="15" x14ac:dyDescent="0.25">
      <c r="B9639"/>
      <c r="C9639"/>
      <c r="D9639"/>
      <c r="E9639"/>
      <c r="F9639"/>
      <c r="G9639" s="20"/>
      <c r="H9639"/>
      <c r="I9639"/>
    </row>
    <row r="9640" spans="2:9" ht="15" x14ac:dyDescent="0.25">
      <c r="B9640"/>
      <c r="C9640"/>
      <c r="D9640"/>
      <c r="E9640"/>
      <c r="F9640"/>
      <c r="G9640" s="20"/>
      <c r="H9640"/>
      <c r="I9640"/>
    </row>
    <row r="9641" spans="2:9" ht="15" x14ac:dyDescent="0.25">
      <c r="B9641"/>
      <c r="C9641"/>
      <c r="D9641"/>
      <c r="E9641"/>
      <c r="F9641"/>
      <c r="G9641" s="20"/>
      <c r="H9641"/>
      <c r="I9641"/>
    </row>
    <row r="9642" spans="2:9" ht="15" x14ac:dyDescent="0.25">
      <c r="B9642"/>
      <c r="C9642"/>
      <c r="D9642"/>
      <c r="E9642"/>
      <c r="F9642"/>
      <c r="G9642" s="20"/>
      <c r="H9642"/>
      <c r="I9642"/>
    </row>
    <row r="9643" spans="2:9" ht="15" x14ac:dyDescent="0.25">
      <c r="B9643"/>
      <c r="C9643"/>
      <c r="D9643"/>
      <c r="E9643"/>
      <c r="F9643"/>
      <c r="G9643" s="20"/>
      <c r="H9643"/>
      <c r="I9643"/>
    </row>
    <row r="9644" spans="2:9" ht="15" x14ac:dyDescent="0.25">
      <c r="B9644"/>
      <c r="C9644"/>
      <c r="D9644"/>
      <c r="E9644"/>
      <c r="F9644"/>
      <c r="G9644" s="20"/>
      <c r="H9644"/>
      <c r="I9644"/>
    </row>
    <row r="9645" spans="2:9" ht="15" x14ac:dyDescent="0.25">
      <c r="B9645"/>
      <c r="C9645"/>
      <c r="D9645"/>
      <c r="E9645"/>
      <c r="F9645"/>
      <c r="G9645" s="20"/>
      <c r="H9645"/>
      <c r="I9645"/>
    </row>
    <row r="9646" spans="2:9" ht="15" x14ac:dyDescent="0.25">
      <c r="B9646"/>
      <c r="C9646"/>
      <c r="D9646"/>
      <c r="E9646"/>
      <c r="F9646"/>
      <c r="G9646" s="20"/>
      <c r="H9646"/>
      <c r="I9646"/>
    </row>
    <row r="9647" spans="2:9" ht="15" x14ac:dyDescent="0.25">
      <c r="B9647"/>
      <c r="C9647"/>
      <c r="D9647"/>
      <c r="E9647"/>
      <c r="F9647"/>
      <c r="G9647" s="20"/>
      <c r="H9647"/>
      <c r="I9647"/>
    </row>
    <row r="9648" spans="2:9" ht="15" x14ac:dyDescent="0.25">
      <c r="B9648"/>
      <c r="C9648"/>
      <c r="D9648"/>
      <c r="E9648"/>
      <c r="F9648"/>
      <c r="G9648" s="20"/>
      <c r="H9648"/>
      <c r="I9648"/>
    </row>
    <row r="9649" spans="2:9" ht="15" x14ac:dyDescent="0.25">
      <c r="B9649"/>
      <c r="C9649"/>
      <c r="D9649"/>
      <c r="E9649"/>
      <c r="F9649"/>
      <c r="G9649" s="20"/>
      <c r="H9649"/>
      <c r="I9649"/>
    </row>
    <row r="9650" spans="2:9" ht="15" x14ac:dyDescent="0.25">
      <c r="B9650"/>
      <c r="C9650"/>
      <c r="D9650"/>
      <c r="E9650"/>
      <c r="F9650"/>
      <c r="G9650" s="20"/>
      <c r="H9650"/>
      <c r="I9650"/>
    </row>
    <row r="9651" spans="2:9" ht="15" x14ac:dyDescent="0.25">
      <c r="B9651"/>
      <c r="C9651"/>
      <c r="D9651"/>
      <c r="E9651"/>
      <c r="F9651"/>
      <c r="G9651" s="20"/>
      <c r="H9651"/>
      <c r="I9651"/>
    </row>
    <row r="9652" spans="2:9" ht="15" x14ac:dyDescent="0.25">
      <c r="B9652"/>
      <c r="C9652"/>
      <c r="D9652"/>
      <c r="E9652"/>
      <c r="F9652"/>
      <c r="G9652" s="20"/>
      <c r="H9652"/>
      <c r="I9652"/>
    </row>
    <row r="9653" spans="2:9" ht="15" x14ac:dyDescent="0.25">
      <c r="B9653"/>
      <c r="C9653"/>
      <c r="D9653"/>
      <c r="E9653"/>
      <c r="F9653"/>
      <c r="G9653" s="20"/>
      <c r="H9653"/>
      <c r="I9653"/>
    </row>
    <row r="9654" spans="2:9" ht="15" x14ac:dyDescent="0.25">
      <c r="B9654"/>
      <c r="C9654"/>
      <c r="D9654"/>
      <c r="E9654"/>
      <c r="F9654"/>
      <c r="G9654" s="20"/>
      <c r="H9654"/>
      <c r="I9654"/>
    </row>
    <row r="9655" spans="2:9" ht="15" x14ac:dyDescent="0.25">
      <c r="B9655"/>
      <c r="C9655"/>
      <c r="D9655"/>
      <c r="E9655"/>
      <c r="F9655"/>
      <c r="G9655" s="20"/>
      <c r="H9655"/>
      <c r="I9655"/>
    </row>
    <row r="9656" spans="2:9" ht="15" x14ac:dyDescent="0.25">
      <c r="B9656"/>
      <c r="C9656"/>
      <c r="D9656"/>
      <c r="E9656"/>
      <c r="F9656"/>
      <c r="G9656" s="20"/>
      <c r="H9656"/>
      <c r="I9656"/>
    </row>
    <row r="9657" spans="2:9" ht="15" x14ac:dyDescent="0.25">
      <c r="B9657"/>
      <c r="C9657"/>
      <c r="D9657"/>
      <c r="E9657"/>
      <c r="F9657"/>
      <c r="G9657" s="20"/>
      <c r="H9657"/>
      <c r="I9657"/>
    </row>
    <row r="9658" spans="2:9" ht="15" x14ac:dyDescent="0.25">
      <c r="B9658"/>
      <c r="C9658"/>
      <c r="D9658"/>
      <c r="E9658"/>
      <c r="F9658"/>
      <c r="G9658" s="20"/>
      <c r="H9658"/>
      <c r="I9658"/>
    </row>
    <row r="9659" spans="2:9" ht="15" x14ac:dyDescent="0.25">
      <c r="B9659"/>
      <c r="C9659"/>
      <c r="D9659"/>
      <c r="E9659"/>
      <c r="F9659"/>
      <c r="G9659" s="20"/>
      <c r="H9659"/>
      <c r="I9659"/>
    </row>
    <row r="9660" spans="2:9" ht="15" x14ac:dyDescent="0.25">
      <c r="B9660"/>
      <c r="C9660"/>
      <c r="D9660"/>
      <c r="E9660"/>
      <c r="F9660"/>
      <c r="G9660" s="20"/>
      <c r="H9660"/>
      <c r="I9660"/>
    </row>
    <row r="9661" spans="2:9" ht="15" x14ac:dyDescent="0.25">
      <c r="B9661"/>
      <c r="C9661"/>
      <c r="D9661"/>
      <c r="E9661"/>
      <c r="F9661"/>
      <c r="G9661" s="20"/>
      <c r="H9661"/>
      <c r="I9661"/>
    </row>
    <row r="9662" spans="2:9" ht="15" x14ac:dyDescent="0.25">
      <c r="B9662"/>
      <c r="C9662"/>
      <c r="D9662"/>
      <c r="E9662"/>
      <c r="F9662"/>
      <c r="G9662" s="20"/>
      <c r="H9662"/>
      <c r="I9662"/>
    </row>
    <row r="9663" spans="2:9" ht="15" x14ac:dyDescent="0.25">
      <c r="B9663"/>
      <c r="C9663"/>
      <c r="D9663"/>
      <c r="E9663"/>
      <c r="F9663"/>
      <c r="G9663" s="20"/>
      <c r="H9663"/>
      <c r="I9663"/>
    </row>
    <row r="9664" spans="2:9" ht="15" x14ac:dyDescent="0.25">
      <c r="B9664"/>
      <c r="C9664"/>
      <c r="D9664"/>
      <c r="E9664"/>
      <c r="F9664"/>
      <c r="G9664" s="20"/>
      <c r="H9664"/>
      <c r="I9664"/>
    </row>
    <row r="9665" spans="2:9" ht="15" x14ac:dyDescent="0.25">
      <c r="B9665"/>
      <c r="C9665"/>
      <c r="D9665"/>
      <c r="E9665"/>
      <c r="F9665"/>
      <c r="G9665" s="20"/>
      <c r="H9665"/>
      <c r="I9665"/>
    </row>
    <row r="9666" spans="2:9" ht="15" x14ac:dyDescent="0.25">
      <c r="B9666"/>
      <c r="C9666"/>
      <c r="D9666"/>
      <c r="E9666"/>
      <c r="F9666"/>
      <c r="G9666" s="20"/>
      <c r="H9666"/>
      <c r="I9666"/>
    </row>
    <row r="9667" spans="2:9" ht="15" x14ac:dyDescent="0.25">
      <c r="B9667"/>
      <c r="C9667"/>
      <c r="D9667"/>
      <c r="E9667"/>
      <c r="F9667"/>
      <c r="G9667" s="20"/>
      <c r="H9667"/>
      <c r="I9667"/>
    </row>
    <row r="9668" spans="2:9" ht="15" x14ac:dyDescent="0.25">
      <c r="B9668"/>
      <c r="C9668"/>
      <c r="D9668"/>
      <c r="E9668"/>
      <c r="F9668"/>
      <c r="G9668" s="20"/>
      <c r="H9668"/>
      <c r="I9668"/>
    </row>
    <row r="9669" spans="2:9" ht="15" x14ac:dyDescent="0.25">
      <c r="B9669"/>
      <c r="C9669"/>
      <c r="D9669"/>
      <c r="E9669"/>
      <c r="F9669"/>
      <c r="G9669" s="20"/>
      <c r="H9669"/>
      <c r="I9669"/>
    </row>
    <row r="9670" spans="2:9" ht="15" x14ac:dyDescent="0.25">
      <c r="B9670"/>
      <c r="C9670"/>
      <c r="D9670"/>
      <c r="E9670"/>
      <c r="F9670"/>
      <c r="G9670" s="20"/>
      <c r="H9670"/>
      <c r="I9670"/>
    </row>
    <row r="9671" spans="2:9" ht="15" x14ac:dyDescent="0.25">
      <c r="B9671"/>
      <c r="C9671"/>
      <c r="D9671"/>
      <c r="E9671"/>
      <c r="F9671"/>
      <c r="G9671" s="20"/>
      <c r="H9671"/>
      <c r="I9671"/>
    </row>
    <row r="9672" spans="2:9" ht="15" x14ac:dyDescent="0.25">
      <c r="B9672"/>
      <c r="C9672"/>
      <c r="D9672"/>
      <c r="E9672"/>
      <c r="F9672"/>
      <c r="G9672" s="20"/>
      <c r="H9672"/>
      <c r="I9672"/>
    </row>
    <row r="9673" spans="2:9" ht="15" x14ac:dyDescent="0.25">
      <c r="B9673"/>
      <c r="C9673"/>
      <c r="D9673"/>
      <c r="E9673"/>
      <c r="F9673"/>
      <c r="G9673" s="20"/>
      <c r="H9673"/>
      <c r="I9673"/>
    </row>
    <row r="9674" spans="2:9" ht="15" x14ac:dyDescent="0.25">
      <c r="B9674"/>
      <c r="C9674"/>
      <c r="D9674"/>
      <c r="E9674"/>
      <c r="F9674"/>
      <c r="G9674" s="20"/>
      <c r="H9674"/>
      <c r="I9674"/>
    </row>
    <row r="9675" spans="2:9" ht="15" x14ac:dyDescent="0.25">
      <c r="B9675"/>
      <c r="C9675"/>
      <c r="D9675"/>
      <c r="E9675"/>
      <c r="F9675"/>
      <c r="G9675" s="20"/>
      <c r="H9675"/>
      <c r="I9675"/>
    </row>
    <row r="9676" spans="2:9" ht="15" x14ac:dyDescent="0.25">
      <c r="B9676"/>
      <c r="C9676"/>
      <c r="D9676"/>
      <c r="E9676"/>
      <c r="F9676"/>
      <c r="G9676" s="20"/>
      <c r="H9676"/>
      <c r="I9676"/>
    </row>
    <row r="9677" spans="2:9" ht="15" x14ac:dyDescent="0.25">
      <c r="B9677"/>
      <c r="C9677"/>
      <c r="D9677"/>
      <c r="E9677"/>
      <c r="F9677"/>
      <c r="G9677" s="20"/>
      <c r="H9677"/>
      <c r="I9677"/>
    </row>
    <row r="9678" spans="2:9" ht="15" x14ac:dyDescent="0.25">
      <c r="B9678"/>
      <c r="C9678"/>
      <c r="D9678"/>
      <c r="E9678"/>
      <c r="F9678"/>
      <c r="G9678" s="20"/>
      <c r="H9678"/>
      <c r="I9678"/>
    </row>
    <row r="9679" spans="2:9" ht="15" x14ac:dyDescent="0.25">
      <c r="B9679"/>
      <c r="C9679"/>
      <c r="D9679"/>
      <c r="E9679"/>
      <c r="F9679"/>
      <c r="G9679" s="20"/>
      <c r="H9679"/>
      <c r="I9679"/>
    </row>
    <row r="9680" spans="2:9" ht="15" x14ac:dyDescent="0.25">
      <c r="B9680"/>
      <c r="C9680"/>
      <c r="D9680"/>
      <c r="E9680"/>
      <c r="F9680"/>
      <c r="G9680" s="20"/>
      <c r="H9680"/>
      <c r="I9680"/>
    </row>
    <row r="9681" spans="2:9" ht="15" x14ac:dyDescent="0.25">
      <c r="B9681"/>
      <c r="C9681"/>
      <c r="D9681"/>
      <c r="E9681"/>
      <c r="F9681"/>
      <c r="G9681" s="20"/>
      <c r="H9681"/>
      <c r="I9681"/>
    </row>
    <row r="9682" spans="2:9" ht="15" x14ac:dyDescent="0.25">
      <c r="B9682"/>
      <c r="C9682"/>
      <c r="D9682"/>
      <c r="E9682"/>
      <c r="F9682"/>
      <c r="G9682" s="20"/>
      <c r="H9682"/>
      <c r="I9682"/>
    </row>
    <row r="9683" spans="2:9" ht="15" x14ac:dyDescent="0.25">
      <c r="B9683"/>
      <c r="C9683"/>
      <c r="D9683"/>
      <c r="E9683"/>
      <c r="F9683"/>
      <c r="G9683" s="20"/>
      <c r="H9683"/>
      <c r="I9683"/>
    </row>
    <row r="9684" spans="2:9" ht="15" x14ac:dyDescent="0.25">
      <c r="B9684"/>
      <c r="C9684"/>
      <c r="D9684"/>
      <c r="E9684"/>
      <c r="F9684"/>
      <c r="G9684" s="20"/>
      <c r="H9684"/>
      <c r="I9684"/>
    </row>
    <row r="9685" spans="2:9" ht="15" x14ac:dyDescent="0.25">
      <c r="B9685"/>
      <c r="C9685"/>
      <c r="D9685"/>
      <c r="E9685"/>
      <c r="F9685"/>
      <c r="G9685" s="20"/>
      <c r="H9685"/>
      <c r="I9685"/>
    </row>
    <row r="9686" spans="2:9" ht="15" x14ac:dyDescent="0.25">
      <c r="B9686"/>
      <c r="C9686"/>
      <c r="D9686"/>
      <c r="E9686"/>
      <c r="F9686"/>
      <c r="G9686" s="20"/>
      <c r="H9686"/>
      <c r="I9686"/>
    </row>
    <row r="9687" spans="2:9" ht="15" x14ac:dyDescent="0.25">
      <c r="B9687"/>
      <c r="C9687"/>
      <c r="D9687"/>
      <c r="E9687"/>
      <c r="F9687"/>
      <c r="G9687" s="20"/>
      <c r="H9687"/>
      <c r="I9687"/>
    </row>
    <row r="9688" spans="2:9" ht="15" x14ac:dyDescent="0.25">
      <c r="B9688"/>
      <c r="C9688"/>
      <c r="D9688"/>
      <c r="E9688"/>
      <c r="F9688"/>
      <c r="G9688" s="20"/>
      <c r="H9688"/>
      <c r="I9688"/>
    </row>
    <row r="9689" spans="2:9" ht="15" x14ac:dyDescent="0.25">
      <c r="B9689"/>
      <c r="C9689"/>
      <c r="D9689"/>
      <c r="E9689"/>
      <c r="F9689"/>
      <c r="G9689" s="20"/>
      <c r="H9689"/>
      <c r="I9689"/>
    </row>
    <row r="9690" spans="2:9" ht="15" x14ac:dyDescent="0.25">
      <c r="B9690"/>
      <c r="C9690"/>
      <c r="D9690"/>
      <c r="E9690"/>
      <c r="F9690"/>
      <c r="G9690" s="20"/>
      <c r="H9690"/>
      <c r="I9690"/>
    </row>
    <row r="9691" spans="2:9" ht="15" x14ac:dyDescent="0.25">
      <c r="B9691"/>
      <c r="C9691"/>
      <c r="D9691"/>
      <c r="E9691"/>
      <c r="F9691"/>
      <c r="G9691" s="20"/>
      <c r="H9691"/>
      <c r="I9691"/>
    </row>
    <row r="9692" spans="2:9" ht="15" x14ac:dyDescent="0.25">
      <c r="B9692"/>
      <c r="C9692"/>
      <c r="D9692"/>
      <c r="E9692"/>
      <c r="F9692"/>
      <c r="G9692" s="20"/>
      <c r="H9692"/>
      <c r="I9692"/>
    </row>
    <row r="9693" spans="2:9" ht="15" x14ac:dyDescent="0.25">
      <c r="B9693"/>
      <c r="C9693"/>
      <c r="D9693"/>
      <c r="E9693"/>
      <c r="F9693"/>
      <c r="G9693" s="20"/>
      <c r="H9693"/>
      <c r="I9693"/>
    </row>
    <row r="9694" spans="2:9" ht="15" x14ac:dyDescent="0.25">
      <c r="B9694"/>
      <c r="C9694"/>
      <c r="D9694"/>
      <c r="E9694"/>
      <c r="F9694"/>
      <c r="G9694" s="20"/>
      <c r="H9694"/>
      <c r="I9694"/>
    </row>
    <row r="9695" spans="2:9" ht="15" x14ac:dyDescent="0.25">
      <c r="B9695"/>
      <c r="C9695"/>
      <c r="D9695"/>
      <c r="E9695"/>
      <c r="F9695"/>
      <c r="G9695" s="20"/>
      <c r="H9695"/>
      <c r="I9695"/>
    </row>
    <row r="9696" spans="2:9" ht="15" x14ac:dyDescent="0.25">
      <c r="B9696"/>
      <c r="C9696"/>
      <c r="D9696"/>
      <c r="E9696"/>
      <c r="F9696"/>
      <c r="G9696" s="20"/>
      <c r="H9696"/>
      <c r="I9696"/>
    </row>
    <row r="9697" spans="2:9" ht="15" x14ac:dyDescent="0.25">
      <c r="B9697"/>
      <c r="C9697"/>
      <c r="D9697"/>
      <c r="E9697"/>
      <c r="F9697"/>
      <c r="G9697" s="20"/>
      <c r="H9697"/>
      <c r="I9697"/>
    </row>
    <row r="9698" spans="2:9" ht="15" x14ac:dyDescent="0.25">
      <c r="B9698"/>
      <c r="C9698"/>
      <c r="D9698"/>
      <c r="E9698"/>
      <c r="F9698"/>
      <c r="G9698" s="20"/>
      <c r="H9698"/>
      <c r="I9698"/>
    </row>
    <row r="9699" spans="2:9" ht="15" x14ac:dyDescent="0.25">
      <c r="B9699"/>
      <c r="C9699"/>
      <c r="D9699"/>
      <c r="E9699"/>
      <c r="F9699"/>
      <c r="G9699" s="20"/>
      <c r="H9699"/>
      <c r="I9699"/>
    </row>
    <row r="9700" spans="2:9" ht="15" x14ac:dyDescent="0.25">
      <c r="B9700"/>
      <c r="C9700"/>
      <c r="D9700"/>
      <c r="E9700"/>
      <c r="F9700"/>
      <c r="G9700" s="20"/>
      <c r="H9700"/>
      <c r="I9700"/>
    </row>
    <row r="9701" spans="2:9" ht="15" x14ac:dyDescent="0.25">
      <c r="B9701"/>
      <c r="C9701"/>
      <c r="D9701"/>
      <c r="E9701"/>
      <c r="F9701"/>
      <c r="G9701" s="20"/>
      <c r="H9701"/>
      <c r="I9701"/>
    </row>
    <row r="9702" spans="2:9" ht="15" x14ac:dyDescent="0.25">
      <c r="B9702"/>
      <c r="C9702"/>
      <c r="D9702"/>
      <c r="E9702"/>
      <c r="F9702"/>
      <c r="G9702" s="20"/>
      <c r="H9702"/>
      <c r="I9702"/>
    </row>
    <row r="9703" spans="2:9" ht="15" x14ac:dyDescent="0.25">
      <c r="B9703"/>
      <c r="C9703"/>
      <c r="D9703"/>
      <c r="E9703"/>
      <c r="F9703"/>
      <c r="G9703" s="20"/>
      <c r="H9703"/>
      <c r="I9703"/>
    </row>
    <row r="9704" spans="2:9" ht="15" x14ac:dyDescent="0.25">
      <c r="B9704"/>
      <c r="C9704"/>
      <c r="D9704"/>
      <c r="E9704"/>
      <c r="F9704"/>
      <c r="G9704" s="20"/>
      <c r="H9704"/>
      <c r="I9704"/>
    </row>
    <row r="9705" spans="2:9" ht="15" x14ac:dyDescent="0.25">
      <c r="B9705"/>
      <c r="C9705"/>
      <c r="D9705"/>
      <c r="E9705"/>
      <c r="F9705"/>
      <c r="G9705" s="20"/>
      <c r="H9705"/>
      <c r="I9705"/>
    </row>
    <row r="9706" spans="2:9" ht="15" x14ac:dyDescent="0.25">
      <c r="B9706"/>
      <c r="C9706"/>
      <c r="D9706"/>
      <c r="E9706"/>
      <c r="F9706"/>
      <c r="G9706" s="20"/>
      <c r="H9706"/>
      <c r="I9706"/>
    </row>
    <row r="9707" spans="2:9" ht="15" x14ac:dyDescent="0.25">
      <c r="B9707"/>
      <c r="C9707"/>
      <c r="D9707"/>
      <c r="E9707"/>
      <c r="F9707"/>
      <c r="G9707" s="20"/>
      <c r="H9707"/>
      <c r="I9707"/>
    </row>
    <row r="9708" spans="2:9" ht="15" x14ac:dyDescent="0.25">
      <c r="B9708"/>
      <c r="C9708"/>
      <c r="D9708"/>
      <c r="E9708"/>
      <c r="F9708"/>
      <c r="G9708" s="20"/>
      <c r="H9708"/>
      <c r="I9708"/>
    </row>
    <row r="9709" spans="2:9" ht="15" x14ac:dyDescent="0.25">
      <c r="B9709"/>
      <c r="C9709"/>
      <c r="D9709"/>
      <c r="E9709"/>
      <c r="F9709"/>
      <c r="G9709" s="20"/>
      <c r="H9709"/>
      <c r="I9709"/>
    </row>
    <row r="9710" spans="2:9" ht="15" x14ac:dyDescent="0.25">
      <c r="B9710"/>
      <c r="C9710"/>
      <c r="D9710"/>
      <c r="E9710"/>
      <c r="F9710"/>
      <c r="G9710" s="20"/>
      <c r="H9710"/>
      <c r="I9710"/>
    </row>
    <row r="9711" spans="2:9" ht="15" x14ac:dyDescent="0.25">
      <c r="B9711"/>
      <c r="C9711"/>
      <c r="D9711"/>
      <c r="E9711"/>
      <c r="F9711"/>
      <c r="G9711" s="20"/>
      <c r="H9711"/>
      <c r="I9711"/>
    </row>
    <row r="9712" spans="2:9" ht="15" x14ac:dyDescent="0.25">
      <c r="B9712"/>
      <c r="C9712"/>
      <c r="D9712"/>
      <c r="E9712"/>
      <c r="F9712"/>
      <c r="G9712" s="20"/>
      <c r="H9712"/>
      <c r="I9712"/>
    </row>
    <row r="9713" spans="2:9" ht="15" x14ac:dyDescent="0.25">
      <c r="B9713"/>
      <c r="C9713"/>
      <c r="D9713"/>
      <c r="E9713"/>
      <c r="F9713"/>
      <c r="G9713" s="20"/>
      <c r="H9713"/>
      <c r="I9713"/>
    </row>
    <row r="9714" spans="2:9" ht="15" x14ac:dyDescent="0.25">
      <c r="B9714"/>
      <c r="C9714"/>
      <c r="D9714"/>
      <c r="E9714"/>
      <c r="F9714"/>
      <c r="G9714" s="20"/>
      <c r="H9714"/>
      <c r="I9714"/>
    </row>
    <row r="9715" spans="2:9" ht="15" x14ac:dyDescent="0.25">
      <c r="B9715"/>
      <c r="C9715"/>
      <c r="D9715"/>
      <c r="E9715"/>
      <c r="F9715"/>
      <c r="G9715" s="20"/>
      <c r="H9715"/>
      <c r="I9715"/>
    </row>
    <row r="9716" spans="2:9" ht="15" x14ac:dyDescent="0.25">
      <c r="B9716"/>
      <c r="C9716"/>
      <c r="D9716"/>
      <c r="E9716"/>
      <c r="F9716"/>
      <c r="G9716" s="20"/>
      <c r="H9716"/>
      <c r="I9716"/>
    </row>
    <row r="9717" spans="2:9" ht="15" x14ac:dyDescent="0.25">
      <c r="B9717"/>
      <c r="C9717"/>
      <c r="D9717"/>
      <c r="E9717"/>
      <c r="F9717"/>
      <c r="G9717" s="20"/>
      <c r="H9717"/>
      <c r="I9717"/>
    </row>
    <row r="9718" spans="2:9" ht="15" x14ac:dyDescent="0.25">
      <c r="B9718"/>
      <c r="C9718"/>
      <c r="D9718"/>
      <c r="E9718"/>
      <c r="F9718"/>
      <c r="G9718" s="20"/>
      <c r="H9718"/>
      <c r="I9718"/>
    </row>
    <row r="9719" spans="2:9" ht="15" x14ac:dyDescent="0.25">
      <c r="B9719"/>
      <c r="C9719"/>
      <c r="D9719"/>
      <c r="E9719"/>
      <c r="F9719"/>
      <c r="G9719" s="20"/>
      <c r="H9719"/>
      <c r="I9719"/>
    </row>
    <row r="9720" spans="2:9" ht="15" x14ac:dyDescent="0.25">
      <c r="B9720"/>
      <c r="C9720"/>
      <c r="D9720"/>
      <c r="E9720"/>
      <c r="F9720"/>
      <c r="G9720" s="20"/>
      <c r="H9720"/>
      <c r="I9720"/>
    </row>
    <row r="9721" spans="2:9" ht="15" x14ac:dyDescent="0.25">
      <c r="B9721"/>
      <c r="C9721"/>
      <c r="D9721"/>
      <c r="E9721"/>
      <c r="F9721"/>
      <c r="G9721" s="20"/>
      <c r="H9721"/>
      <c r="I9721"/>
    </row>
    <row r="9722" spans="2:9" ht="15" x14ac:dyDescent="0.25">
      <c r="B9722"/>
      <c r="C9722"/>
      <c r="D9722"/>
      <c r="E9722"/>
      <c r="F9722"/>
      <c r="G9722" s="20"/>
      <c r="H9722"/>
      <c r="I9722"/>
    </row>
    <row r="9723" spans="2:9" ht="15" x14ac:dyDescent="0.25">
      <c r="B9723"/>
      <c r="C9723"/>
      <c r="D9723"/>
      <c r="E9723"/>
      <c r="F9723"/>
      <c r="G9723" s="20"/>
      <c r="H9723"/>
      <c r="I9723"/>
    </row>
    <row r="9724" spans="2:9" ht="15" x14ac:dyDescent="0.25">
      <c r="B9724"/>
      <c r="C9724"/>
      <c r="D9724"/>
      <c r="E9724"/>
      <c r="F9724"/>
      <c r="G9724" s="20"/>
      <c r="H9724"/>
      <c r="I9724"/>
    </row>
    <row r="9725" spans="2:9" ht="15" x14ac:dyDescent="0.25">
      <c r="B9725"/>
      <c r="C9725"/>
      <c r="D9725"/>
      <c r="E9725"/>
      <c r="F9725"/>
      <c r="G9725" s="20"/>
      <c r="H9725"/>
      <c r="I9725"/>
    </row>
    <row r="9726" spans="2:9" ht="15" x14ac:dyDescent="0.25">
      <c r="B9726"/>
      <c r="C9726"/>
      <c r="D9726"/>
      <c r="E9726"/>
      <c r="F9726"/>
      <c r="G9726" s="20"/>
      <c r="H9726"/>
      <c r="I9726"/>
    </row>
    <row r="9727" spans="2:9" ht="15" x14ac:dyDescent="0.25">
      <c r="B9727"/>
      <c r="C9727"/>
      <c r="D9727"/>
      <c r="E9727"/>
      <c r="F9727"/>
      <c r="G9727" s="20"/>
      <c r="H9727"/>
      <c r="I9727"/>
    </row>
    <row r="9728" spans="2:9" ht="15" x14ac:dyDescent="0.25">
      <c r="B9728"/>
      <c r="C9728"/>
      <c r="D9728"/>
      <c r="E9728"/>
      <c r="F9728"/>
      <c r="G9728" s="20"/>
      <c r="H9728"/>
      <c r="I9728"/>
    </row>
    <row r="9729" spans="2:9" ht="15" x14ac:dyDescent="0.25">
      <c r="B9729"/>
      <c r="C9729"/>
      <c r="D9729"/>
      <c r="E9729"/>
      <c r="F9729"/>
      <c r="G9729" s="20"/>
      <c r="H9729"/>
      <c r="I9729"/>
    </row>
    <row r="9730" spans="2:9" ht="15" x14ac:dyDescent="0.25">
      <c r="B9730"/>
      <c r="C9730"/>
      <c r="D9730"/>
      <c r="E9730"/>
      <c r="F9730"/>
      <c r="G9730" s="20"/>
      <c r="H9730"/>
      <c r="I9730"/>
    </row>
    <row r="9731" spans="2:9" ht="15" x14ac:dyDescent="0.25">
      <c r="B9731"/>
      <c r="C9731"/>
      <c r="D9731"/>
      <c r="E9731"/>
      <c r="F9731"/>
      <c r="G9731" s="20"/>
      <c r="H9731"/>
      <c r="I9731"/>
    </row>
    <row r="9732" spans="2:9" ht="15" x14ac:dyDescent="0.25">
      <c r="B9732"/>
      <c r="C9732"/>
      <c r="D9732"/>
      <c r="E9732"/>
      <c r="F9732"/>
      <c r="G9732" s="20"/>
      <c r="H9732"/>
      <c r="I9732"/>
    </row>
    <row r="9733" spans="2:9" ht="15" x14ac:dyDescent="0.25">
      <c r="B9733"/>
      <c r="C9733"/>
      <c r="D9733"/>
      <c r="E9733"/>
      <c r="F9733"/>
      <c r="G9733" s="20"/>
      <c r="H9733"/>
      <c r="I9733"/>
    </row>
    <row r="9734" spans="2:9" ht="15" x14ac:dyDescent="0.25">
      <c r="B9734"/>
      <c r="C9734"/>
      <c r="D9734"/>
      <c r="E9734"/>
      <c r="F9734"/>
      <c r="G9734" s="20"/>
      <c r="H9734"/>
      <c r="I9734"/>
    </row>
    <row r="9735" spans="2:9" ht="15" x14ac:dyDescent="0.25">
      <c r="B9735"/>
      <c r="C9735"/>
      <c r="D9735"/>
      <c r="E9735"/>
      <c r="F9735"/>
      <c r="G9735" s="20"/>
      <c r="H9735"/>
      <c r="I9735"/>
    </row>
    <row r="9736" spans="2:9" ht="15" x14ac:dyDescent="0.25">
      <c r="B9736"/>
      <c r="C9736"/>
      <c r="D9736"/>
      <c r="E9736"/>
      <c r="F9736"/>
      <c r="G9736" s="20"/>
      <c r="H9736"/>
      <c r="I9736"/>
    </row>
    <row r="9737" spans="2:9" ht="15" x14ac:dyDescent="0.25">
      <c r="B9737"/>
      <c r="C9737"/>
      <c r="D9737"/>
      <c r="E9737"/>
      <c r="F9737"/>
      <c r="G9737" s="20"/>
      <c r="H9737"/>
      <c r="I9737"/>
    </row>
    <row r="9738" spans="2:9" ht="15" x14ac:dyDescent="0.25">
      <c r="B9738"/>
      <c r="C9738"/>
      <c r="D9738"/>
      <c r="E9738"/>
      <c r="F9738"/>
      <c r="G9738" s="20"/>
      <c r="H9738"/>
      <c r="I9738"/>
    </row>
    <row r="9739" spans="2:9" ht="15" x14ac:dyDescent="0.25">
      <c r="B9739"/>
      <c r="C9739"/>
      <c r="D9739"/>
      <c r="E9739"/>
      <c r="F9739"/>
      <c r="G9739" s="20"/>
      <c r="H9739"/>
      <c r="I9739"/>
    </row>
    <row r="9740" spans="2:9" ht="15" x14ac:dyDescent="0.25">
      <c r="B9740"/>
      <c r="C9740"/>
      <c r="D9740"/>
      <c r="E9740"/>
      <c r="F9740"/>
      <c r="G9740" s="20"/>
      <c r="H9740"/>
      <c r="I9740"/>
    </row>
    <row r="9741" spans="2:9" ht="15" x14ac:dyDescent="0.25">
      <c r="B9741"/>
      <c r="C9741"/>
      <c r="D9741"/>
      <c r="E9741"/>
      <c r="F9741"/>
      <c r="G9741" s="20"/>
      <c r="H9741"/>
      <c r="I9741"/>
    </row>
    <row r="9742" spans="2:9" ht="15" x14ac:dyDescent="0.25">
      <c r="B9742"/>
      <c r="C9742"/>
      <c r="D9742"/>
      <c r="E9742"/>
      <c r="F9742"/>
      <c r="G9742" s="20"/>
      <c r="H9742"/>
      <c r="I9742"/>
    </row>
    <row r="9743" spans="2:9" ht="15" x14ac:dyDescent="0.25">
      <c r="B9743"/>
      <c r="C9743"/>
      <c r="D9743"/>
      <c r="E9743"/>
      <c r="F9743"/>
      <c r="G9743" s="20"/>
      <c r="H9743"/>
      <c r="I9743"/>
    </row>
    <row r="9744" spans="2:9" ht="15" x14ac:dyDescent="0.25">
      <c r="B9744"/>
      <c r="C9744"/>
      <c r="D9744"/>
      <c r="E9744"/>
      <c r="F9744"/>
      <c r="G9744" s="20"/>
      <c r="H9744"/>
      <c r="I9744"/>
    </row>
    <row r="9745" spans="2:9" ht="15" x14ac:dyDescent="0.25">
      <c r="B9745"/>
      <c r="C9745"/>
      <c r="D9745"/>
      <c r="E9745"/>
      <c r="F9745"/>
      <c r="G9745" s="20"/>
      <c r="H9745"/>
      <c r="I9745"/>
    </row>
    <row r="9746" spans="2:9" ht="15" x14ac:dyDescent="0.25">
      <c r="B9746"/>
      <c r="C9746"/>
      <c r="D9746"/>
      <c r="E9746"/>
      <c r="F9746"/>
      <c r="G9746" s="20"/>
      <c r="H9746"/>
      <c r="I9746"/>
    </row>
    <row r="9747" spans="2:9" ht="15" x14ac:dyDescent="0.25">
      <c r="B9747"/>
      <c r="C9747"/>
      <c r="D9747"/>
      <c r="E9747"/>
      <c r="F9747"/>
      <c r="G9747" s="20"/>
      <c r="H9747"/>
      <c r="I9747"/>
    </row>
    <row r="9748" spans="2:9" ht="15" x14ac:dyDescent="0.25">
      <c r="B9748"/>
      <c r="C9748"/>
      <c r="D9748"/>
      <c r="E9748"/>
      <c r="F9748"/>
      <c r="G9748" s="20"/>
      <c r="H9748"/>
      <c r="I9748"/>
    </row>
    <row r="9749" spans="2:9" ht="15" x14ac:dyDescent="0.25">
      <c r="B9749"/>
      <c r="C9749"/>
      <c r="D9749"/>
      <c r="E9749"/>
      <c r="F9749"/>
      <c r="G9749" s="20"/>
      <c r="H9749"/>
      <c r="I9749"/>
    </row>
    <row r="9750" spans="2:9" ht="15" x14ac:dyDescent="0.25">
      <c r="B9750"/>
      <c r="C9750"/>
      <c r="D9750"/>
      <c r="E9750"/>
      <c r="F9750"/>
      <c r="G9750" s="20"/>
      <c r="H9750"/>
      <c r="I9750"/>
    </row>
    <row r="9751" spans="2:9" ht="15" x14ac:dyDescent="0.25">
      <c r="B9751"/>
      <c r="C9751"/>
      <c r="D9751"/>
      <c r="E9751"/>
      <c r="F9751"/>
      <c r="G9751" s="20"/>
      <c r="H9751"/>
      <c r="I9751"/>
    </row>
    <row r="9752" spans="2:9" ht="15" x14ac:dyDescent="0.25">
      <c r="B9752"/>
      <c r="C9752"/>
      <c r="D9752"/>
      <c r="E9752"/>
      <c r="F9752"/>
      <c r="G9752" s="20"/>
      <c r="H9752"/>
      <c r="I9752"/>
    </row>
    <row r="9753" spans="2:9" ht="15" x14ac:dyDescent="0.25">
      <c r="B9753"/>
      <c r="C9753"/>
      <c r="D9753"/>
      <c r="E9753"/>
      <c r="F9753"/>
      <c r="G9753" s="20"/>
      <c r="H9753"/>
      <c r="I9753"/>
    </row>
    <row r="9754" spans="2:9" ht="15" x14ac:dyDescent="0.25">
      <c r="B9754"/>
      <c r="C9754"/>
      <c r="D9754"/>
      <c r="E9754"/>
      <c r="F9754"/>
      <c r="G9754" s="20"/>
      <c r="H9754"/>
      <c r="I9754"/>
    </row>
    <row r="9755" spans="2:9" ht="15" x14ac:dyDescent="0.25">
      <c r="B9755"/>
      <c r="C9755"/>
      <c r="D9755"/>
      <c r="E9755"/>
      <c r="F9755"/>
      <c r="G9755" s="20"/>
      <c r="H9755"/>
      <c r="I9755"/>
    </row>
    <row r="9756" spans="2:9" ht="15" x14ac:dyDescent="0.25">
      <c r="B9756"/>
      <c r="C9756"/>
      <c r="D9756"/>
      <c r="E9756"/>
      <c r="F9756"/>
      <c r="G9756" s="20"/>
      <c r="H9756"/>
      <c r="I9756"/>
    </row>
    <row r="9757" spans="2:9" ht="15" x14ac:dyDescent="0.25">
      <c r="B9757"/>
      <c r="C9757"/>
      <c r="D9757"/>
      <c r="E9757"/>
      <c r="F9757"/>
      <c r="G9757" s="20"/>
      <c r="H9757"/>
      <c r="I9757"/>
    </row>
    <row r="9758" spans="2:9" ht="15" x14ac:dyDescent="0.25">
      <c r="B9758"/>
      <c r="C9758"/>
      <c r="D9758"/>
      <c r="E9758"/>
      <c r="F9758"/>
      <c r="G9758" s="20"/>
      <c r="H9758"/>
      <c r="I9758"/>
    </row>
    <row r="9759" spans="2:9" ht="15" x14ac:dyDescent="0.25">
      <c r="B9759"/>
      <c r="C9759"/>
      <c r="D9759"/>
      <c r="E9759"/>
      <c r="F9759"/>
      <c r="G9759" s="20"/>
      <c r="H9759"/>
      <c r="I9759"/>
    </row>
    <row r="9760" spans="2:9" ht="15" x14ac:dyDescent="0.25">
      <c r="B9760"/>
      <c r="C9760"/>
      <c r="D9760"/>
      <c r="E9760"/>
      <c r="F9760"/>
      <c r="G9760" s="20"/>
      <c r="H9760"/>
      <c r="I9760"/>
    </row>
    <row r="9761" spans="2:9" ht="15" x14ac:dyDescent="0.25">
      <c r="B9761"/>
      <c r="C9761"/>
      <c r="D9761"/>
      <c r="E9761"/>
      <c r="F9761"/>
      <c r="G9761" s="20"/>
      <c r="H9761"/>
      <c r="I9761"/>
    </row>
    <row r="9762" spans="2:9" ht="15" x14ac:dyDescent="0.25">
      <c r="B9762"/>
      <c r="C9762"/>
      <c r="D9762"/>
      <c r="E9762"/>
      <c r="F9762"/>
      <c r="G9762" s="20"/>
      <c r="H9762"/>
      <c r="I9762"/>
    </row>
    <row r="9763" spans="2:9" ht="15" x14ac:dyDescent="0.25">
      <c r="B9763"/>
      <c r="C9763"/>
      <c r="D9763"/>
      <c r="E9763"/>
      <c r="F9763"/>
      <c r="G9763" s="20"/>
      <c r="H9763"/>
      <c r="I9763"/>
    </row>
    <row r="9764" spans="2:9" ht="15" x14ac:dyDescent="0.25">
      <c r="B9764"/>
      <c r="C9764"/>
      <c r="D9764"/>
      <c r="E9764"/>
      <c r="F9764"/>
      <c r="G9764" s="20"/>
      <c r="H9764"/>
      <c r="I9764"/>
    </row>
    <row r="9765" spans="2:9" ht="15" x14ac:dyDescent="0.25">
      <c r="B9765"/>
      <c r="C9765"/>
      <c r="D9765"/>
      <c r="E9765"/>
      <c r="F9765"/>
      <c r="G9765" s="20"/>
      <c r="H9765"/>
      <c r="I9765"/>
    </row>
    <row r="9766" spans="2:9" ht="15" x14ac:dyDescent="0.25">
      <c r="B9766"/>
      <c r="C9766"/>
      <c r="D9766"/>
      <c r="E9766"/>
      <c r="F9766"/>
      <c r="G9766" s="20"/>
      <c r="H9766"/>
      <c r="I9766"/>
    </row>
    <row r="9767" spans="2:9" ht="15" x14ac:dyDescent="0.25">
      <c r="B9767"/>
      <c r="C9767"/>
      <c r="D9767"/>
      <c r="E9767"/>
      <c r="F9767"/>
      <c r="G9767" s="20"/>
      <c r="H9767"/>
      <c r="I9767"/>
    </row>
    <row r="9768" spans="2:9" ht="15" x14ac:dyDescent="0.25">
      <c r="B9768"/>
      <c r="C9768"/>
      <c r="D9768"/>
      <c r="E9768"/>
      <c r="F9768"/>
      <c r="G9768" s="20"/>
      <c r="H9768"/>
      <c r="I9768"/>
    </row>
    <row r="9769" spans="2:9" ht="15" x14ac:dyDescent="0.25">
      <c r="B9769"/>
      <c r="C9769"/>
      <c r="D9769"/>
      <c r="E9769"/>
      <c r="F9769"/>
      <c r="G9769" s="20"/>
      <c r="H9769"/>
      <c r="I9769"/>
    </row>
    <row r="9770" spans="2:9" ht="15" x14ac:dyDescent="0.25">
      <c r="B9770"/>
      <c r="C9770"/>
      <c r="D9770"/>
      <c r="E9770"/>
      <c r="F9770"/>
      <c r="G9770" s="20"/>
      <c r="H9770"/>
      <c r="I9770"/>
    </row>
    <row r="9771" spans="2:9" ht="15" x14ac:dyDescent="0.25">
      <c r="B9771"/>
      <c r="C9771"/>
      <c r="D9771"/>
      <c r="E9771"/>
      <c r="F9771"/>
      <c r="G9771" s="20"/>
      <c r="H9771"/>
      <c r="I9771"/>
    </row>
    <row r="9772" spans="2:9" ht="15" x14ac:dyDescent="0.25">
      <c r="B9772"/>
      <c r="C9772"/>
      <c r="D9772"/>
      <c r="E9772"/>
      <c r="F9772"/>
      <c r="G9772" s="20"/>
      <c r="H9772"/>
      <c r="I9772"/>
    </row>
    <row r="9773" spans="2:9" ht="15" x14ac:dyDescent="0.25">
      <c r="B9773"/>
      <c r="C9773"/>
      <c r="D9773"/>
      <c r="E9773"/>
      <c r="F9773"/>
      <c r="G9773" s="20"/>
      <c r="H9773"/>
      <c r="I9773"/>
    </row>
    <row r="9774" spans="2:9" ht="15" x14ac:dyDescent="0.25">
      <c r="B9774"/>
      <c r="C9774"/>
      <c r="D9774"/>
      <c r="E9774"/>
      <c r="F9774"/>
      <c r="G9774" s="20"/>
      <c r="H9774"/>
      <c r="I9774"/>
    </row>
    <row r="9775" spans="2:9" ht="15" x14ac:dyDescent="0.25">
      <c r="B9775"/>
      <c r="C9775"/>
      <c r="D9775"/>
      <c r="E9775"/>
      <c r="F9775"/>
      <c r="G9775" s="20"/>
      <c r="H9775"/>
      <c r="I9775"/>
    </row>
    <row r="9776" spans="2:9" ht="15" x14ac:dyDescent="0.25">
      <c r="B9776"/>
      <c r="C9776"/>
      <c r="D9776"/>
      <c r="E9776"/>
      <c r="F9776"/>
      <c r="G9776" s="20"/>
      <c r="H9776"/>
      <c r="I9776"/>
    </row>
    <row r="9777" spans="2:9" ht="15" x14ac:dyDescent="0.25">
      <c r="B9777"/>
      <c r="C9777"/>
      <c r="D9777"/>
      <c r="E9777"/>
      <c r="F9777"/>
      <c r="G9777" s="20"/>
      <c r="H9777"/>
      <c r="I9777"/>
    </row>
    <row r="9778" spans="2:9" ht="15" x14ac:dyDescent="0.25">
      <c r="B9778"/>
      <c r="C9778"/>
      <c r="D9778"/>
      <c r="E9778"/>
      <c r="F9778"/>
      <c r="G9778" s="20"/>
      <c r="H9778"/>
      <c r="I9778"/>
    </row>
    <row r="9779" spans="2:9" ht="15" x14ac:dyDescent="0.25">
      <c r="B9779"/>
      <c r="C9779"/>
      <c r="D9779"/>
      <c r="E9779"/>
      <c r="F9779"/>
      <c r="G9779" s="20"/>
      <c r="H9779"/>
      <c r="I9779"/>
    </row>
    <row r="9780" spans="2:9" ht="15" x14ac:dyDescent="0.25">
      <c r="B9780"/>
      <c r="C9780"/>
      <c r="D9780"/>
      <c r="E9780"/>
      <c r="F9780"/>
      <c r="G9780" s="20"/>
      <c r="H9780"/>
      <c r="I9780"/>
    </row>
    <row r="9781" spans="2:9" ht="15" x14ac:dyDescent="0.25">
      <c r="B9781"/>
      <c r="C9781"/>
      <c r="D9781"/>
      <c r="E9781"/>
      <c r="F9781"/>
      <c r="G9781" s="20"/>
      <c r="H9781"/>
      <c r="I9781"/>
    </row>
    <row r="9782" spans="2:9" ht="15" x14ac:dyDescent="0.25">
      <c r="B9782"/>
      <c r="C9782"/>
      <c r="D9782"/>
      <c r="E9782"/>
      <c r="F9782"/>
      <c r="G9782" s="20"/>
      <c r="H9782"/>
      <c r="I9782"/>
    </row>
    <row r="9783" spans="2:9" ht="15" x14ac:dyDescent="0.25">
      <c r="B9783"/>
      <c r="C9783"/>
      <c r="D9783"/>
      <c r="E9783"/>
      <c r="F9783"/>
      <c r="G9783" s="20"/>
      <c r="H9783"/>
      <c r="I9783"/>
    </row>
    <row r="9784" spans="2:9" ht="15" x14ac:dyDescent="0.25">
      <c r="B9784"/>
      <c r="C9784"/>
      <c r="D9784"/>
      <c r="E9784"/>
      <c r="F9784"/>
      <c r="G9784" s="20"/>
      <c r="H9784"/>
      <c r="I9784"/>
    </row>
    <row r="9785" spans="2:9" ht="15" x14ac:dyDescent="0.25">
      <c r="B9785"/>
      <c r="C9785"/>
      <c r="D9785"/>
      <c r="E9785"/>
      <c r="F9785"/>
      <c r="G9785" s="20"/>
      <c r="H9785"/>
      <c r="I9785"/>
    </row>
    <row r="9786" spans="2:9" ht="15" x14ac:dyDescent="0.25">
      <c r="B9786"/>
      <c r="C9786"/>
      <c r="D9786"/>
      <c r="E9786"/>
      <c r="F9786"/>
      <c r="G9786" s="20"/>
      <c r="H9786"/>
      <c r="I9786"/>
    </row>
    <row r="9787" spans="2:9" ht="15" x14ac:dyDescent="0.25">
      <c r="B9787"/>
      <c r="C9787"/>
      <c r="D9787"/>
      <c r="E9787"/>
      <c r="F9787"/>
      <c r="G9787" s="20"/>
      <c r="H9787"/>
      <c r="I9787"/>
    </row>
    <row r="9788" spans="2:9" ht="15" x14ac:dyDescent="0.25">
      <c r="B9788"/>
      <c r="C9788"/>
      <c r="D9788"/>
      <c r="E9788"/>
      <c r="F9788"/>
      <c r="G9788" s="20"/>
      <c r="H9788"/>
      <c r="I9788"/>
    </row>
    <row r="9789" spans="2:9" ht="15" x14ac:dyDescent="0.25">
      <c r="B9789"/>
      <c r="C9789"/>
      <c r="D9789"/>
      <c r="E9789"/>
      <c r="F9789"/>
      <c r="G9789" s="20"/>
      <c r="H9789"/>
      <c r="I9789"/>
    </row>
    <row r="9790" spans="2:9" ht="15" x14ac:dyDescent="0.25">
      <c r="B9790"/>
      <c r="C9790"/>
      <c r="D9790"/>
      <c r="E9790"/>
      <c r="F9790"/>
      <c r="G9790" s="20"/>
      <c r="H9790"/>
      <c r="I9790"/>
    </row>
    <row r="9791" spans="2:9" ht="15" x14ac:dyDescent="0.25">
      <c r="B9791"/>
      <c r="C9791"/>
      <c r="D9791"/>
      <c r="E9791"/>
      <c r="F9791"/>
      <c r="G9791" s="20"/>
      <c r="H9791"/>
      <c r="I9791"/>
    </row>
    <row r="9792" spans="2:9" ht="15" x14ac:dyDescent="0.25">
      <c r="B9792"/>
      <c r="C9792"/>
      <c r="D9792"/>
      <c r="E9792"/>
      <c r="F9792"/>
      <c r="G9792" s="20"/>
      <c r="H9792"/>
      <c r="I9792"/>
    </row>
    <row r="9793" spans="2:9" ht="15" x14ac:dyDescent="0.25">
      <c r="B9793"/>
      <c r="C9793"/>
      <c r="D9793"/>
      <c r="E9793"/>
      <c r="F9793"/>
      <c r="G9793" s="20"/>
      <c r="H9793"/>
      <c r="I9793"/>
    </row>
    <row r="9794" spans="2:9" ht="15" x14ac:dyDescent="0.25">
      <c r="B9794"/>
      <c r="C9794"/>
      <c r="D9794"/>
      <c r="E9794"/>
      <c r="F9794"/>
      <c r="G9794" s="20"/>
      <c r="H9794"/>
      <c r="I9794"/>
    </row>
    <row r="9795" spans="2:9" ht="15" x14ac:dyDescent="0.25">
      <c r="B9795"/>
      <c r="C9795"/>
      <c r="D9795"/>
      <c r="E9795"/>
      <c r="F9795"/>
      <c r="G9795" s="20"/>
      <c r="H9795"/>
      <c r="I9795"/>
    </row>
    <row r="9796" spans="2:9" ht="15" x14ac:dyDescent="0.25">
      <c r="B9796"/>
      <c r="C9796"/>
      <c r="D9796"/>
      <c r="E9796"/>
      <c r="F9796"/>
      <c r="G9796" s="20"/>
      <c r="H9796"/>
      <c r="I9796"/>
    </row>
    <row r="9797" spans="2:9" ht="15" x14ac:dyDescent="0.25">
      <c r="B9797"/>
      <c r="C9797"/>
      <c r="D9797"/>
      <c r="E9797"/>
      <c r="F9797"/>
      <c r="G9797" s="20"/>
      <c r="H9797"/>
      <c r="I9797"/>
    </row>
    <row r="9798" spans="2:9" ht="15" x14ac:dyDescent="0.25">
      <c r="B9798"/>
      <c r="C9798"/>
      <c r="D9798"/>
      <c r="E9798"/>
      <c r="F9798"/>
      <c r="G9798" s="20"/>
      <c r="H9798"/>
      <c r="I9798"/>
    </row>
    <row r="9799" spans="2:9" ht="15" x14ac:dyDescent="0.25">
      <c r="B9799"/>
      <c r="C9799"/>
      <c r="D9799"/>
      <c r="E9799"/>
      <c r="F9799"/>
      <c r="G9799" s="20"/>
      <c r="H9799"/>
      <c r="I9799"/>
    </row>
    <row r="9800" spans="2:9" ht="15" x14ac:dyDescent="0.25">
      <c r="B9800"/>
      <c r="C9800"/>
      <c r="D9800"/>
      <c r="E9800"/>
      <c r="F9800"/>
      <c r="G9800" s="20"/>
      <c r="H9800"/>
      <c r="I9800"/>
    </row>
    <row r="9801" spans="2:9" ht="15" x14ac:dyDescent="0.25">
      <c r="B9801"/>
      <c r="C9801"/>
      <c r="D9801"/>
      <c r="E9801"/>
      <c r="F9801"/>
      <c r="G9801" s="20"/>
      <c r="H9801"/>
      <c r="I9801"/>
    </row>
    <row r="9802" spans="2:9" ht="15" x14ac:dyDescent="0.25">
      <c r="B9802"/>
      <c r="C9802"/>
      <c r="D9802"/>
      <c r="E9802"/>
      <c r="F9802"/>
      <c r="G9802" s="20"/>
      <c r="H9802"/>
      <c r="I9802"/>
    </row>
    <row r="9803" spans="2:9" ht="15" x14ac:dyDescent="0.25">
      <c r="B9803"/>
      <c r="C9803"/>
      <c r="D9803"/>
      <c r="E9803"/>
      <c r="F9803"/>
      <c r="G9803" s="20"/>
      <c r="H9803"/>
      <c r="I9803"/>
    </row>
    <row r="9804" spans="2:9" ht="15" x14ac:dyDescent="0.25">
      <c r="B9804"/>
      <c r="C9804"/>
      <c r="D9804"/>
      <c r="E9804"/>
      <c r="F9804"/>
      <c r="G9804" s="20"/>
      <c r="H9804"/>
      <c r="I9804"/>
    </row>
    <row r="9805" spans="2:9" ht="15" x14ac:dyDescent="0.25">
      <c r="B9805"/>
      <c r="C9805"/>
      <c r="D9805"/>
      <c r="E9805"/>
      <c r="F9805"/>
      <c r="G9805" s="20"/>
      <c r="H9805"/>
      <c r="I9805"/>
    </row>
    <row r="9806" spans="2:9" ht="15" x14ac:dyDescent="0.25">
      <c r="B9806"/>
      <c r="C9806"/>
      <c r="D9806"/>
      <c r="E9806"/>
      <c r="F9806"/>
      <c r="G9806" s="20"/>
      <c r="H9806"/>
      <c r="I9806"/>
    </row>
    <row r="9807" spans="2:9" ht="15" x14ac:dyDescent="0.25">
      <c r="B9807"/>
      <c r="C9807"/>
      <c r="D9807"/>
      <c r="E9807"/>
      <c r="F9807"/>
      <c r="G9807" s="20"/>
      <c r="H9807"/>
      <c r="I9807"/>
    </row>
    <row r="9808" spans="2:9" ht="15" x14ac:dyDescent="0.25">
      <c r="B9808"/>
      <c r="C9808"/>
      <c r="D9808"/>
      <c r="E9808"/>
      <c r="F9808"/>
      <c r="G9808" s="20"/>
      <c r="H9808"/>
      <c r="I9808"/>
    </row>
    <row r="9809" spans="2:9" ht="15" x14ac:dyDescent="0.25">
      <c r="B9809"/>
      <c r="C9809"/>
      <c r="D9809"/>
      <c r="E9809"/>
      <c r="F9809"/>
      <c r="G9809" s="20"/>
      <c r="H9809"/>
      <c r="I9809"/>
    </row>
    <row r="9810" spans="2:9" ht="15" x14ac:dyDescent="0.25">
      <c r="B9810"/>
      <c r="C9810"/>
      <c r="D9810"/>
      <c r="E9810"/>
      <c r="F9810"/>
      <c r="G9810" s="20"/>
      <c r="H9810"/>
      <c r="I9810"/>
    </row>
    <row r="9811" spans="2:9" ht="15" x14ac:dyDescent="0.25">
      <c r="B9811"/>
      <c r="C9811"/>
      <c r="D9811"/>
      <c r="E9811"/>
      <c r="F9811"/>
      <c r="G9811" s="20"/>
      <c r="H9811"/>
      <c r="I9811"/>
    </row>
    <row r="9812" spans="2:9" ht="15" x14ac:dyDescent="0.25">
      <c r="B9812"/>
      <c r="C9812"/>
      <c r="D9812"/>
      <c r="E9812"/>
      <c r="F9812"/>
      <c r="G9812" s="20"/>
      <c r="H9812"/>
      <c r="I9812"/>
    </row>
    <row r="9813" spans="2:9" ht="15" x14ac:dyDescent="0.25">
      <c r="B9813"/>
      <c r="C9813"/>
      <c r="D9813"/>
      <c r="E9813"/>
      <c r="F9813"/>
      <c r="G9813" s="20"/>
      <c r="H9813"/>
      <c r="I9813"/>
    </row>
    <row r="9814" spans="2:9" ht="15" x14ac:dyDescent="0.25">
      <c r="B9814"/>
      <c r="C9814"/>
      <c r="D9814"/>
      <c r="E9814"/>
      <c r="F9814"/>
      <c r="G9814" s="20"/>
      <c r="H9814"/>
      <c r="I9814"/>
    </row>
    <row r="9815" spans="2:9" ht="15" x14ac:dyDescent="0.25">
      <c r="B9815"/>
      <c r="C9815"/>
      <c r="D9815"/>
      <c r="E9815"/>
      <c r="F9815"/>
      <c r="G9815" s="20"/>
      <c r="H9815"/>
      <c r="I9815"/>
    </row>
    <row r="9816" spans="2:9" ht="15" x14ac:dyDescent="0.25">
      <c r="B9816"/>
      <c r="C9816"/>
      <c r="D9816"/>
      <c r="E9816"/>
      <c r="F9816"/>
      <c r="G9816" s="20"/>
      <c r="H9816"/>
      <c r="I9816"/>
    </row>
    <row r="9817" spans="2:9" ht="15" x14ac:dyDescent="0.25">
      <c r="B9817"/>
      <c r="C9817"/>
      <c r="D9817"/>
      <c r="E9817"/>
      <c r="F9817"/>
      <c r="G9817" s="20"/>
      <c r="H9817"/>
      <c r="I9817"/>
    </row>
    <row r="9818" spans="2:9" ht="15" x14ac:dyDescent="0.25">
      <c r="B9818"/>
      <c r="C9818"/>
      <c r="D9818"/>
      <c r="E9818"/>
      <c r="F9818"/>
      <c r="G9818" s="20"/>
      <c r="H9818"/>
      <c r="I9818"/>
    </row>
    <row r="9819" spans="2:9" ht="15" x14ac:dyDescent="0.25">
      <c r="B9819"/>
      <c r="C9819"/>
      <c r="D9819"/>
      <c r="E9819"/>
      <c r="F9819"/>
      <c r="G9819" s="20"/>
      <c r="H9819"/>
      <c r="I9819"/>
    </row>
    <row r="9820" spans="2:9" ht="15" x14ac:dyDescent="0.25">
      <c r="B9820"/>
      <c r="C9820"/>
      <c r="D9820"/>
      <c r="E9820"/>
      <c r="F9820"/>
      <c r="G9820" s="20"/>
      <c r="H9820"/>
      <c r="I9820"/>
    </row>
    <row r="9821" spans="2:9" ht="15" x14ac:dyDescent="0.25">
      <c r="B9821"/>
      <c r="C9821"/>
      <c r="D9821"/>
      <c r="E9821"/>
      <c r="F9821"/>
      <c r="G9821" s="20"/>
      <c r="H9821"/>
      <c r="I9821"/>
    </row>
    <row r="9822" spans="2:9" ht="15" x14ac:dyDescent="0.25">
      <c r="B9822"/>
      <c r="C9822"/>
      <c r="D9822"/>
      <c r="E9822"/>
      <c r="F9822"/>
      <c r="G9822" s="20"/>
      <c r="H9822"/>
      <c r="I9822"/>
    </row>
    <row r="9823" spans="2:9" ht="15" x14ac:dyDescent="0.25">
      <c r="B9823"/>
      <c r="C9823"/>
      <c r="D9823"/>
      <c r="E9823"/>
      <c r="F9823"/>
      <c r="G9823" s="20"/>
      <c r="H9823"/>
      <c r="I9823"/>
    </row>
    <row r="9824" spans="2:9" ht="15" x14ac:dyDescent="0.25">
      <c r="B9824"/>
      <c r="C9824"/>
      <c r="D9824"/>
      <c r="E9824"/>
      <c r="F9824"/>
      <c r="G9824" s="20"/>
      <c r="H9824"/>
      <c r="I9824"/>
    </row>
    <row r="9825" spans="2:9" ht="15" x14ac:dyDescent="0.25">
      <c r="B9825"/>
      <c r="C9825"/>
      <c r="D9825"/>
      <c r="E9825"/>
      <c r="F9825"/>
      <c r="G9825" s="20"/>
      <c r="H9825"/>
      <c r="I9825"/>
    </row>
    <row r="9826" spans="2:9" ht="15" x14ac:dyDescent="0.25">
      <c r="B9826"/>
      <c r="C9826"/>
      <c r="D9826"/>
      <c r="E9826"/>
      <c r="F9826"/>
      <c r="G9826" s="20"/>
      <c r="H9826"/>
      <c r="I9826"/>
    </row>
    <row r="9827" spans="2:9" ht="15" x14ac:dyDescent="0.25">
      <c r="B9827"/>
      <c r="C9827"/>
      <c r="D9827"/>
      <c r="E9827"/>
      <c r="F9827"/>
      <c r="G9827" s="20"/>
      <c r="H9827"/>
      <c r="I9827"/>
    </row>
    <row r="9828" spans="2:9" ht="15" x14ac:dyDescent="0.25">
      <c r="B9828"/>
      <c r="C9828"/>
      <c r="D9828"/>
      <c r="E9828"/>
      <c r="F9828"/>
      <c r="G9828" s="20"/>
      <c r="H9828"/>
      <c r="I9828"/>
    </row>
    <row r="9829" spans="2:9" ht="15" x14ac:dyDescent="0.25">
      <c r="B9829"/>
      <c r="C9829"/>
      <c r="D9829"/>
      <c r="E9829"/>
      <c r="F9829"/>
      <c r="G9829" s="20"/>
      <c r="H9829"/>
      <c r="I9829"/>
    </row>
    <row r="9830" spans="2:9" ht="15" x14ac:dyDescent="0.25">
      <c r="B9830"/>
      <c r="C9830"/>
      <c r="D9830"/>
      <c r="E9830"/>
      <c r="F9830"/>
      <c r="G9830" s="20"/>
      <c r="H9830"/>
      <c r="I9830"/>
    </row>
    <row r="9831" spans="2:9" ht="15" x14ac:dyDescent="0.25">
      <c r="B9831"/>
      <c r="C9831"/>
      <c r="D9831"/>
      <c r="E9831"/>
      <c r="F9831"/>
      <c r="G9831" s="20"/>
      <c r="H9831"/>
      <c r="I9831"/>
    </row>
    <row r="9832" spans="2:9" ht="15" x14ac:dyDescent="0.25">
      <c r="B9832"/>
      <c r="C9832"/>
      <c r="D9832"/>
      <c r="E9832"/>
      <c r="F9832"/>
      <c r="G9832" s="20"/>
      <c r="H9832"/>
      <c r="I9832"/>
    </row>
    <row r="9833" spans="2:9" ht="15" x14ac:dyDescent="0.25">
      <c r="B9833"/>
      <c r="C9833"/>
      <c r="D9833"/>
      <c r="E9833"/>
      <c r="F9833"/>
      <c r="G9833" s="20"/>
      <c r="H9833"/>
      <c r="I9833"/>
    </row>
    <row r="9834" spans="2:9" ht="15" x14ac:dyDescent="0.25">
      <c r="B9834"/>
      <c r="C9834"/>
      <c r="D9834"/>
      <c r="E9834"/>
      <c r="F9834"/>
      <c r="G9834" s="20"/>
      <c r="H9834"/>
      <c r="I9834"/>
    </row>
    <row r="9835" spans="2:9" ht="15" x14ac:dyDescent="0.25">
      <c r="B9835"/>
      <c r="C9835"/>
      <c r="D9835"/>
      <c r="E9835"/>
      <c r="F9835"/>
      <c r="G9835" s="20"/>
      <c r="H9835"/>
      <c r="I9835"/>
    </row>
    <row r="9836" spans="2:9" ht="15" x14ac:dyDescent="0.25">
      <c r="B9836"/>
      <c r="C9836"/>
      <c r="D9836"/>
      <c r="E9836"/>
      <c r="F9836"/>
      <c r="G9836" s="20"/>
      <c r="H9836"/>
      <c r="I9836"/>
    </row>
    <row r="9837" spans="2:9" ht="15" x14ac:dyDescent="0.25">
      <c r="B9837"/>
      <c r="C9837"/>
      <c r="D9837"/>
      <c r="E9837"/>
      <c r="F9837"/>
      <c r="G9837" s="20"/>
      <c r="H9837"/>
      <c r="I9837"/>
    </row>
    <row r="9838" spans="2:9" ht="15" x14ac:dyDescent="0.25">
      <c r="B9838"/>
      <c r="C9838"/>
      <c r="D9838"/>
      <c r="E9838"/>
      <c r="F9838"/>
      <c r="G9838" s="20"/>
      <c r="H9838"/>
      <c r="I9838"/>
    </row>
    <row r="9839" spans="2:9" ht="15" x14ac:dyDescent="0.25">
      <c r="B9839"/>
      <c r="C9839"/>
      <c r="D9839"/>
      <c r="E9839"/>
      <c r="F9839"/>
      <c r="G9839" s="20"/>
      <c r="H9839"/>
      <c r="I9839"/>
    </row>
    <row r="9840" spans="2:9" ht="15" x14ac:dyDescent="0.25">
      <c r="B9840"/>
      <c r="C9840"/>
      <c r="D9840"/>
      <c r="E9840"/>
      <c r="F9840"/>
      <c r="G9840" s="20"/>
      <c r="H9840"/>
      <c r="I9840"/>
    </row>
    <row r="9841" spans="2:9" ht="15" x14ac:dyDescent="0.25">
      <c r="B9841"/>
      <c r="C9841"/>
      <c r="D9841"/>
      <c r="E9841"/>
      <c r="F9841"/>
      <c r="G9841" s="20"/>
      <c r="H9841"/>
      <c r="I9841"/>
    </row>
    <row r="9842" spans="2:9" ht="15" x14ac:dyDescent="0.25">
      <c r="B9842"/>
      <c r="C9842"/>
      <c r="D9842"/>
      <c r="E9842"/>
      <c r="F9842"/>
      <c r="G9842" s="20"/>
      <c r="H9842"/>
      <c r="I9842"/>
    </row>
    <row r="9843" spans="2:9" ht="15" x14ac:dyDescent="0.25">
      <c r="B9843"/>
      <c r="C9843"/>
      <c r="D9843"/>
      <c r="E9843"/>
      <c r="F9843"/>
      <c r="G9843" s="20"/>
      <c r="H9843"/>
      <c r="I9843"/>
    </row>
    <row r="9844" spans="2:9" ht="15" x14ac:dyDescent="0.25">
      <c r="B9844"/>
      <c r="C9844"/>
      <c r="D9844"/>
      <c r="E9844"/>
      <c r="F9844"/>
      <c r="G9844" s="20"/>
      <c r="H9844"/>
      <c r="I9844"/>
    </row>
    <row r="9845" spans="2:9" ht="15" x14ac:dyDescent="0.25">
      <c r="B9845"/>
      <c r="C9845"/>
      <c r="D9845"/>
      <c r="E9845"/>
      <c r="F9845"/>
      <c r="G9845" s="20"/>
      <c r="H9845"/>
      <c r="I9845"/>
    </row>
    <row r="9846" spans="2:9" ht="15" x14ac:dyDescent="0.25">
      <c r="B9846"/>
      <c r="C9846"/>
      <c r="D9846"/>
      <c r="E9846"/>
      <c r="F9846"/>
      <c r="G9846" s="20"/>
      <c r="H9846"/>
      <c r="I9846"/>
    </row>
    <row r="9847" spans="2:9" ht="15" x14ac:dyDescent="0.25">
      <c r="B9847"/>
      <c r="C9847"/>
      <c r="D9847"/>
      <c r="E9847"/>
      <c r="F9847"/>
      <c r="G9847" s="20"/>
      <c r="H9847"/>
      <c r="I9847"/>
    </row>
    <row r="9848" spans="2:9" ht="15" x14ac:dyDescent="0.25">
      <c r="B9848"/>
      <c r="C9848"/>
      <c r="D9848"/>
      <c r="E9848"/>
      <c r="F9848"/>
      <c r="G9848" s="20"/>
      <c r="H9848"/>
      <c r="I9848"/>
    </row>
    <row r="9849" spans="2:9" ht="15" x14ac:dyDescent="0.25">
      <c r="B9849"/>
      <c r="C9849"/>
      <c r="D9849"/>
      <c r="E9849"/>
      <c r="F9849"/>
      <c r="G9849" s="20"/>
      <c r="H9849"/>
      <c r="I9849"/>
    </row>
    <row r="9850" spans="2:9" ht="15" x14ac:dyDescent="0.25">
      <c r="B9850"/>
      <c r="C9850"/>
      <c r="D9850"/>
      <c r="E9850"/>
      <c r="F9850"/>
      <c r="G9850" s="20"/>
      <c r="H9850"/>
      <c r="I9850"/>
    </row>
    <row r="9851" spans="2:9" ht="15" x14ac:dyDescent="0.25">
      <c r="B9851"/>
      <c r="C9851"/>
      <c r="D9851"/>
      <c r="E9851"/>
      <c r="F9851"/>
      <c r="G9851" s="20"/>
      <c r="H9851"/>
      <c r="I9851"/>
    </row>
    <row r="9852" spans="2:9" ht="15" x14ac:dyDescent="0.25">
      <c r="B9852"/>
      <c r="C9852"/>
      <c r="D9852"/>
      <c r="E9852"/>
      <c r="F9852"/>
      <c r="G9852" s="20"/>
      <c r="H9852"/>
      <c r="I9852"/>
    </row>
    <row r="9853" spans="2:9" ht="15" x14ac:dyDescent="0.25">
      <c r="B9853"/>
      <c r="C9853"/>
      <c r="D9853"/>
      <c r="E9853"/>
      <c r="F9853"/>
      <c r="G9853" s="20"/>
      <c r="H9853"/>
      <c r="I9853"/>
    </row>
    <row r="9854" spans="2:9" ht="15" x14ac:dyDescent="0.25">
      <c r="B9854"/>
      <c r="C9854"/>
      <c r="D9854"/>
      <c r="E9854"/>
      <c r="F9854"/>
      <c r="G9854" s="20"/>
      <c r="H9854"/>
      <c r="I9854"/>
    </row>
    <row r="9855" spans="2:9" ht="15" x14ac:dyDescent="0.25">
      <c r="B9855"/>
      <c r="C9855"/>
      <c r="D9855"/>
      <c r="E9855"/>
      <c r="F9855"/>
      <c r="G9855" s="20"/>
      <c r="H9855"/>
      <c r="I9855"/>
    </row>
    <row r="9856" spans="2:9" ht="15" x14ac:dyDescent="0.25">
      <c r="B9856"/>
      <c r="C9856"/>
      <c r="D9856"/>
      <c r="E9856"/>
      <c r="F9856"/>
      <c r="G9856" s="20"/>
      <c r="H9856"/>
      <c r="I9856"/>
    </row>
    <row r="9857" spans="2:9" ht="15" x14ac:dyDescent="0.25">
      <c r="B9857"/>
      <c r="C9857"/>
      <c r="D9857"/>
      <c r="E9857"/>
      <c r="F9857"/>
      <c r="G9857" s="20"/>
      <c r="H9857"/>
      <c r="I9857"/>
    </row>
    <row r="9858" spans="2:9" ht="15" x14ac:dyDescent="0.25">
      <c r="B9858"/>
      <c r="C9858"/>
      <c r="D9858"/>
      <c r="E9858"/>
      <c r="F9858"/>
      <c r="G9858" s="20"/>
      <c r="H9858"/>
      <c r="I9858"/>
    </row>
    <row r="9859" spans="2:9" ht="15" x14ac:dyDescent="0.25">
      <c r="B9859"/>
      <c r="C9859"/>
      <c r="D9859"/>
      <c r="E9859"/>
      <c r="F9859"/>
      <c r="G9859" s="20"/>
      <c r="H9859"/>
      <c r="I9859"/>
    </row>
    <row r="9860" spans="2:9" ht="15" x14ac:dyDescent="0.25">
      <c r="B9860"/>
      <c r="C9860"/>
      <c r="D9860"/>
      <c r="E9860"/>
      <c r="F9860"/>
      <c r="G9860" s="20"/>
      <c r="H9860"/>
      <c r="I9860"/>
    </row>
    <row r="9861" spans="2:9" ht="15" x14ac:dyDescent="0.25">
      <c r="B9861"/>
      <c r="C9861"/>
      <c r="D9861"/>
      <c r="E9861"/>
      <c r="F9861"/>
      <c r="G9861" s="20"/>
      <c r="H9861"/>
      <c r="I9861"/>
    </row>
    <row r="9862" spans="2:9" ht="15" x14ac:dyDescent="0.25">
      <c r="B9862"/>
      <c r="C9862"/>
      <c r="D9862"/>
      <c r="E9862"/>
      <c r="F9862"/>
      <c r="G9862" s="20"/>
      <c r="H9862"/>
      <c r="I9862"/>
    </row>
    <row r="9863" spans="2:9" ht="15" x14ac:dyDescent="0.25">
      <c r="B9863"/>
      <c r="C9863"/>
      <c r="D9863"/>
      <c r="E9863"/>
      <c r="F9863"/>
      <c r="G9863" s="20"/>
      <c r="H9863"/>
      <c r="I9863"/>
    </row>
    <row r="9864" spans="2:9" ht="15" x14ac:dyDescent="0.25">
      <c r="B9864"/>
      <c r="C9864"/>
      <c r="D9864"/>
      <c r="E9864"/>
      <c r="F9864"/>
      <c r="G9864" s="20"/>
      <c r="H9864"/>
      <c r="I9864"/>
    </row>
    <row r="9865" spans="2:9" ht="15" x14ac:dyDescent="0.25">
      <c r="B9865"/>
      <c r="C9865"/>
      <c r="D9865"/>
      <c r="E9865"/>
      <c r="F9865"/>
      <c r="G9865" s="20"/>
      <c r="H9865"/>
      <c r="I9865"/>
    </row>
    <row r="9866" spans="2:9" ht="15" x14ac:dyDescent="0.25">
      <c r="B9866"/>
      <c r="C9866"/>
      <c r="D9866"/>
      <c r="E9866"/>
      <c r="F9866"/>
      <c r="G9866" s="20"/>
      <c r="H9866"/>
      <c r="I9866"/>
    </row>
    <row r="9867" spans="2:9" ht="15" x14ac:dyDescent="0.25">
      <c r="B9867"/>
      <c r="C9867"/>
      <c r="D9867"/>
      <c r="E9867"/>
      <c r="F9867"/>
      <c r="G9867" s="20"/>
      <c r="H9867"/>
      <c r="I9867"/>
    </row>
    <row r="9868" spans="2:9" ht="15" x14ac:dyDescent="0.25">
      <c r="B9868"/>
      <c r="C9868"/>
      <c r="D9868"/>
      <c r="E9868"/>
      <c r="F9868"/>
      <c r="G9868" s="20"/>
      <c r="H9868"/>
      <c r="I9868"/>
    </row>
    <row r="9869" spans="2:9" ht="15" x14ac:dyDescent="0.25">
      <c r="B9869"/>
      <c r="C9869"/>
      <c r="D9869"/>
      <c r="E9869"/>
      <c r="F9869"/>
      <c r="G9869" s="20"/>
      <c r="H9869"/>
      <c r="I9869"/>
    </row>
    <row r="9870" spans="2:9" ht="15" x14ac:dyDescent="0.25">
      <c r="B9870"/>
      <c r="C9870"/>
      <c r="D9870"/>
      <c r="E9870"/>
      <c r="F9870"/>
      <c r="G9870" s="20"/>
      <c r="H9870"/>
      <c r="I9870"/>
    </row>
    <row r="9871" spans="2:9" ht="15" x14ac:dyDescent="0.25">
      <c r="B9871"/>
      <c r="C9871"/>
      <c r="D9871"/>
      <c r="E9871"/>
      <c r="F9871"/>
      <c r="G9871" s="20"/>
      <c r="H9871"/>
      <c r="I9871"/>
    </row>
    <row r="9872" spans="2:9" ht="15" x14ac:dyDescent="0.25">
      <c r="B9872"/>
      <c r="C9872"/>
      <c r="D9872"/>
      <c r="E9872"/>
      <c r="F9872"/>
      <c r="G9872" s="20"/>
      <c r="H9872"/>
      <c r="I9872"/>
    </row>
    <row r="9873" spans="2:9" ht="15" x14ac:dyDescent="0.25">
      <c r="B9873"/>
      <c r="C9873"/>
      <c r="D9873"/>
      <c r="E9873"/>
      <c r="F9873"/>
      <c r="G9873" s="20"/>
      <c r="H9873"/>
      <c r="I9873"/>
    </row>
    <row r="9874" spans="2:9" ht="15" x14ac:dyDescent="0.25">
      <c r="B9874"/>
      <c r="C9874"/>
      <c r="D9874"/>
      <c r="E9874"/>
      <c r="F9874"/>
      <c r="G9874" s="20"/>
      <c r="H9874"/>
      <c r="I9874"/>
    </row>
    <row r="9875" spans="2:9" ht="15" x14ac:dyDescent="0.25">
      <c r="B9875"/>
      <c r="C9875"/>
      <c r="D9875"/>
      <c r="E9875"/>
      <c r="F9875"/>
      <c r="G9875" s="20"/>
      <c r="H9875"/>
      <c r="I9875"/>
    </row>
    <row r="9876" spans="2:9" ht="15" x14ac:dyDescent="0.25">
      <c r="B9876"/>
      <c r="C9876"/>
      <c r="D9876"/>
      <c r="E9876"/>
      <c r="F9876"/>
      <c r="G9876" s="20"/>
      <c r="H9876"/>
      <c r="I9876"/>
    </row>
    <row r="9877" spans="2:9" ht="15" x14ac:dyDescent="0.25">
      <c r="B9877"/>
      <c r="C9877"/>
      <c r="D9877"/>
      <c r="E9877"/>
      <c r="F9877"/>
      <c r="G9877" s="20"/>
      <c r="H9877"/>
      <c r="I9877"/>
    </row>
    <row r="9878" spans="2:9" ht="15" x14ac:dyDescent="0.25">
      <c r="B9878"/>
      <c r="C9878"/>
      <c r="D9878"/>
      <c r="E9878"/>
      <c r="F9878"/>
      <c r="G9878" s="20"/>
      <c r="H9878"/>
      <c r="I9878"/>
    </row>
    <row r="9879" spans="2:9" ht="15" x14ac:dyDescent="0.25">
      <c r="B9879"/>
      <c r="C9879"/>
      <c r="D9879"/>
      <c r="E9879"/>
      <c r="F9879"/>
      <c r="G9879" s="20"/>
      <c r="H9879"/>
      <c r="I9879"/>
    </row>
    <row r="9880" spans="2:9" ht="15" x14ac:dyDescent="0.25">
      <c r="B9880"/>
      <c r="C9880"/>
      <c r="D9880"/>
      <c r="E9880"/>
      <c r="F9880"/>
      <c r="G9880" s="20"/>
      <c r="H9880"/>
      <c r="I9880"/>
    </row>
    <row r="9881" spans="2:9" ht="15" x14ac:dyDescent="0.25">
      <c r="B9881"/>
      <c r="C9881"/>
      <c r="D9881"/>
      <c r="E9881"/>
      <c r="F9881"/>
      <c r="G9881" s="20"/>
      <c r="H9881"/>
      <c r="I9881"/>
    </row>
    <row r="9882" spans="2:9" ht="15" x14ac:dyDescent="0.25">
      <c r="B9882"/>
      <c r="C9882"/>
      <c r="D9882"/>
      <c r="E9882"/>
      <c r="F9882"/>
      <c r="G9882" s="20"/>
      <c r="H9882"/>
      <c r="I9882"/>
    </row>
    <row r="9883" spans="2:9" ht="15" x14ac:dyDescent="0.25">
      <c r="B9883"/>
      <c r="C9883"/>
      <c r="D9883"/>
      <c r="E9883"/>
      <c r="F9883"/>
      <c r="G9883" s="20"/>
      <c r="H9883"/>
      <c r="I9883"/>
    </row>
    <row r="9884" spans="2:9" ht="15" x14ac:dyDescent="0.25">
      <c r="B9884"/>
      <c r="C9884"/>
      <c r="D9884"/>
      <c r="E9884"/>
      <c r="F9884"/>
      <c r="G9884" s="20"/>
      <c r="H9884"/>
      <c r="I9884"/>
    </row>
    <row r="9885" spans="2:9" ht="15" x14ac:dyDescent="0.25">
      <c r="B9885"/>
      <c r="C9885"/>
      <c r="D9885"/>
      <c r="E9885"/>
      <c r="F9885"/>
      <c r="G9885" s="20"/>
      <c r="H9885"/>
      <c r="I9885"/>
    </row>
    <row r="9886" spans="2:9" ht="15" x14ac:dyDescent="0.25">
      <c r="B9886"/>
      <c r="C9886"/>
      <c r="D9886"/>
      <c r="E9886"/>
      <c r="F9886"/>
      <c r="G9886" s="20"/>
      <c r="H9886"/>
      <c r="I9886"/>
    </row>
    <row r="9887" spans="2:9" ht="15" x14ac:dyDescent="0.25">
      <c r="B9887"/>
      <c r="C9887"/>
      <c r="D9887"/>
      <c r="E9887"/>
      <c r="F9887"/>
      <c r="G9887" s="20"/>
      <c r="H9887"/>
      <c r="I9887"/>
    </row>
    <row r="9888" spans="2:9" ht="15" x14ac:dyDescent="0.25">
      <c r="B9888"/>
      <c r="C9888"/>
      <c r="D9888"/>
      <c r="E9888"/>
      <c r="F9888"/>
      <c r="G9888" s="20"/>
      <c r="H9888"/>
      <c r="I9888"/>
    </row>
    <row r="9889" spans="2:9" ht="15" x14ac:dyDescent="0.25">
      <c r="B9889"/>
      <c r="C9889"/>
      <c r="D9889"/>
      <c r="E9889"/>
      <c r="F9889"/>
      <c r="G9889" s="20"/>
      <c r="H9889"/>
      <c r="I9889"/>
    </row>
    <row r="9890" spans="2:9" ht="15" x14ac:dyDescent="0.25">
      <c r="B9890"/>
      <c r="C9890"/>
      <c r="D9890"/>
      <c r="E9890"/>
      <c r="F9890"/>
      <c r="G9890" s="20"/>
      <c r="H9890"/>
      <c r="I9890"/>
    </row>
    <row r="9891" spans="2:9" ht="15" x14ac:dyDescent="0.25">
      <c r="B9891"/>
      <c r="C9891"/>
      <c r="D9891"/>
      <c r="E9891"/>
      <c r="F9891"/>
      <c r="G9891" s="20"/>
      <c r="H9891"/>
      <c r="I9891"/>
    </row>
    <row r="9892" spans="2:9" ht="15" x14ac:dyDescent="0.25">
      <c r="B9892"/>
      <c r="C9892"/>
      <c r="D9892"/>
      <c r="E9892"/>
      <c r="F9892"/>
      <c r="G9892" s="20"/>
      <c r="H9892"/>
      <c r="I9892"/>
    </row>
    <row r="9893" spans="2:9" ht="15" x14ac:dyDescent="0.25">
      <c r="B9893"/>
      <c r="C9893"/>
      <c r="D9893"/>
      <c r="E9893"/>
      <c r="F9893"/>
      <c r="G9893" s="20"/>
      <c r="H9893"/>
      <c r="I9893"/>
    </row>
    <row r="9894" spans="2:9" ht="15" x14ac:dyDescent="0.25">
      <c r="B9894"/>
      <c r="C9894"/>
      <c r="D9894"/>
      <c r="E9894"/>
      <c r="F9894"/>
      <c r="G9894" s="20"/>
      <c r="H9894"/>
      <c r="I9894"/>
    </row>
    <row r="9895" spans="2:9" ht="15" x14ac:dyDescent="0.25">
      <c r="B9895"/>
      <c r="C9895"/>
      <c r="D9895"/>
      <c r="E9895"/>
      <c r="F9895"/>
      <c r="G9895" s="20"/>
      <c r="H9895"/>
      <c r="I9895"/>
    </row>
    <row r="9896" spans="2:9" ht="15" x14ac:dyDescent="0.25">
      <c r="B9896"/>
      <c r="C9896"/>
      <c r="D9896"/>
      <c r="E9896"/>
      <c r="F9896"/>
      <c r="G9896" s="20"/>
      <c r="H9896"/>
      <c r="I9896"/>
    </row>
    <row r="9897" spans="2:9" ht="15" x14ac:dyDescent="0.25">
      <c r="B9897"/>
      <c r="C9897"/>
      <c r="D9897"/>
      <c r="E9897"/>
      <c r="F9897"/>
      <c r="G9897" s="20"/>
      <c r="H9897"/>
      <c r="I9897"/>
    </row>
    <row r="9898" spans="2:9" ht="15" x14ac:dyDescent="0.25">
      <c r="B9898"/>
      <c r="C9898"/>
      <c r="D9898"/>
      <c r="E9898"/>
      <c r="F9898"/>
      <c r="G9898" s="20"/>
      <c r="H9898"/>
      <c r="I9898"/>
    </row>
    <row r="9899" spans="2:9" ht="15" x14ac:dyDescent="0.25">
      <c r="B9899"/>
      <c r="C9899"/>
      <c r="D9899"/>
      <c r="E9899"/>
      <c r="F9899"/>
      <c r="G9899" s="20"/>
      <c r="H9899"/>
      <c r="I9899"/>
    </row>
    <row r="9900" spans="2:9" ht="15" x14ac:dyDescent="0.25">
      <c r="B9900"/>
      <c r="C9900"/>
      <c r="D9900"/>
      <c r="E9900"/>
      <c r="F9900"/>
      <c r="G9900" s="20"/>
      <c r="H9900"/>
      <c r="I9900"/>
    </row>
    <row r="9901" spans="2:9" ht="15" x14ac:dyDescent="0.25">
      <c r="B9901"/>
      <c r="C9901"/>
      <c r="D9901"/>
      <c r="E9901"/>
      <c r="F9901"/>
      <c r="G9901" s="20"/>
      <c r="H9901"/>
      <c r="I9901"/>
    </row>
    <row r="9902" spans="2:9" ht="15" x14ac:dyDescent="0.25">
      <c r="B9902"/>
      <c r="C9902"/>
      <c r="D9902"/>
      <c r="E9902"/>
      <c r="F9902"/>
      <c r="G9902" s="20"/>
      <c r="H9902"/>
      <c r="I9902"/>
    </row>
    <row r="9903" spans="2:9" ht="15" x14ac:dyDescent="0.25">
      <c r="B9903"/>
      <c r="C9903"/>
      <c r="D9903"/>
      <c r="E9903"/>
      <c r="F9903"/>
      <c r="G9903" s="20"/>
      <c r="H9903"/>
      <c r="I9903"/>
    </row>
    <row r="9904" spans="2:9" ht="15" x14ac:dyDescent="0.25">
      <c r="B9904"/>
      <c r="C9904"/>
      <c r="D9904"/>
      <c r="E9904"/>
      <c r="F9904"/>
      <c r="G9904" s="20"/>
      <c r="H9904"/>
      <c r="I9904"/>
    </row>
    <row r="9905" spans="2:9" ht="15" x14ac:dyDescent="0.25">
      <c r="B9905"/>
      <c r="C9905"/>
      <c r="D9905"/>
      <c r="E9905"/>
      <c r="F9905"/>
      <c r="G9905" s="20"/>
      <c r="H9905"/>
      <c r="I9905"/>
    </row>
    <row r="9906" spans="2:9" ht="15" x14ac:dyDescent="0.25">
      <c r="B9906"/>
      <c r="C9906"/>
      <c r="D9906"/>
      <c r="E9906"/>
      <c r="F9906"/>
      <c r="G9906" s="20"/>
      <c r="H9906"/>
      <c r="I9906"/>
    </row>
    <row r="9907" spans="2:9" ht="15" x14ac:dyDescent="0.25">
      <c r="B9907"/>
      <c r="C9907"/>
      <c r="D9907"/>
      <c r="E9907"/>
      <c r="F9907"/>
      <c r="G9907" s="20"/>
      <c r="H9907"/>
      <c r="I9907"/>
    </row>
    <row r="9908" spans="2:9" ht="15" x14ac:dyDescent="0.25">
      <c r="B9908"/>
      <c r="C9908"/>
      <c r="D9908"/>
      <c r="E9908"/>
      <c r="F9908"/>
      <c r="G9908" s="20"/>
      <c r="H9908"/>
      <c r="I9908"/>
    </row>
    <row r="9909" spans="2:9" ht="15" x14ac:dyDescent="0.25">
      <c r="B9909"/>
      <c r="C9909"/>
      <c r="D9909"/>
      <c r="E9909"/>
      <c r="F9909"/>
      <c r="G9909" s="20"/>
      <c r="H9909"/>
      <c r="I9909"/>
    </row>
    <row r="9910" spans="2:9" ht="15" x14ac:dyDescent="0.25">
      <c r="B9910"/>
      <c r="C9910"/>
      <c r="D9910"/>
      <c r="E9910"/>
      <c r="F9910"/>
      <c r="G9910" s="20"/>
      <c r="H9910"/>
      <c r="I9910"/>
    </row>
    <row r="9911" spans="2:9" ht="15" x14ac:dyDescent="0.25">
      <c r="B9911"/>
      <c r="C9911"/>
      <c r="D9911"/>
      <c r="E9911"/>
      <c r="F9911"/>
      <c r="G9911" s="20"/>
      <c r="H9911"/>
      <c r="I9911"/>
    </row>
    <row r="9912" spans="2:9" ht="15" x14ac:dyDescent="0.25">
      <c r="B9912"/>
      <c r="C9912"/>
      <c r="D9912"/>
      <c r="E9912"/>
      <c r="F9912"/>
      <c r="G9912" s="20"/>
      <c r="H9912"/>
      <c r="I9912"/>
    </row>
    <row r="9913" spans="2:9" ht="15" x14ac:dyDescent="0.25">
      <c r="B9913"/>
      <c r="C9913"/>
      <c r="D9913"/>
      <c r="E9913"/>
      <c r="F9913"/>
      <c r="G9913" s="20"/>
      <c r="H9913"/>
      <c r="I9913"/>
    </row>
    <row r="9914" spans="2:9" ht="15" x14ac:dyDescent="0.25">
      <c r="B9914"/>
      <c r="C9914"/>
      <c r="D9914"/>
      <c r="E9914"/>
      <c r="F9914"/>
      <c r="G9914" s="20"/>
      <c r="H9914"/>
      <c r="I9914"/>
    </row>
    <row r="9915" spans="2:9" ht="15" x14ac:dyDescent="0.25">
      <c r="B9915"/>
      <c r="C9915"/>
      <c r="D9915"/>
      <c r="E9915"/>
      <c r="F9915"/>
      <c r="G9915" s="20"/>
      <c r="H9915"/>
      <c r="I9915"/>
    </row>
    <row r="9916" spans="2:9" ht="15" x14ac:dyDescent="0.25">
      <c r="B9916"/>
      <c r="C9916"/>
      <c r="D9916"/>
      <c r="E9916"/>
      <c r="F9916"/>
      <c r="G9916" s="20"/>
      <c r="H9916"/>
      <c r="I9916"/>
    </row>
    <row r="9917" spans="2:9" ht="15" x14ac:dyDescent="0.25">
      <c r="B9917"/>
      <c r="C9917"/>
      <c r="D9917"/>
      <c r="E9917"/>
      <c r="F9917"/>
      <c r="G9917" s="20"/>
      <c r="H9917"/>
      <c r="I9917"/>
    </row>
    <row r="9918" spans="2:9" ht="15" x14ac:dyDescent="0.25">
      <c r="B9918"/>
      <c r="C9918"/>
      <c r="D9918"/>
      <c r="E9918"/>
      <c r="F9918"/>
      <c r="G9918" s="20"/>
      <c r="H9918"/>
      <c r="I9918"/>
    </row>
    <row r="9919" spans="2:9" ht="15" x14ac:dyDescent="0.25">
      <c r="B9919"/>
      <c r="C9919"/>
      <c r="D9919"/>
      <c r="E9919"/>
      <c r="F9919"/>
      <c r="G9919" s="20"/>
      <c r="H9919"/>
      <c r="I9919"/>
    </row>
    <row r="9920" spans="2:9" ht="15" x14ac:dyDescent="0.25">
      <c r="B9920"/>
      <c r="C9920"/>
      <c r="D9920"/>
      <c r="E9920"/>
      <c r="F9920"/>
      <c r="G9920" s="20"/>
      <c r="H9920"/>
      <c r="I9920"/>
    </row>
    <row r="9921" spans="2:9" ht="15" x14ac:dyDescent="0.25">
      <c r="B9921"/>
      <c r="C9921"/>
      <c r="D9921"/>
      <c r="E9921"/>
      <c r="F9921"/>
      <c r="G9921" s="20"/>
      <c r="H9921"/>
      <c r="I9921"/>
    </row>
    <row r="9922" spans="2:9" ht="15" x14ac:dyDescent="0.25">
      <c r="B9922"/>
      <c r="C9922"/>
      <c r="D9922"/>
      <c r="E9922"/>
      <c r="F9922"/>
      <c r="G9922" s="20"/>
      <c r="H9922"/>
      <c r="I9922"/>
    </row>
    <row r="9923" spans="2:9" ht="15" x14ac:dyDescent="0.25">
      <c r="B9923"/>
      <c r="C9923"/>
      <c r="D9923"/>
      <c r="E9923"/>
      <c r="F9923"/>
      <c r="G9923" s="20"/>
      <c r="H9923"/>
      <c r="I9923"/>
    </row>
    <row r="9924" spans="2:9" ht="15" x14ac:dyDescent="0.25">
      <c r="B9924"/>
      <c r="C9924"/>
      <c r="D9924"/>
      <c r="E9924"/>
      <c r="F9924"/>
      <c r="G9924" s="20"/>
      <c r="H9924"/>
      <c r="I9924"/>
    </row>
    <row r="9925" spans="2:9" ht="15" x14ac:dyDescent="0.25">
      <c r="B9925"/>
      <c r="C9925"/>
      <c r="D9925"/>
      <c r="E9925"/>
      <c r="F9925"/>
      <c r="G9925" s="20"/>
      <c r="H9925"/>
      <c r="I9925"/>
    </row>
    <row r="9926" spans="2:9" ht="15" x14ac:dyDescent="0.25">
      <c r="B9926"/>
      <c r="C9926"/>
      <c r="D9926"/>
      <c r="E9926"/>
      <c r="F9926"/>
      <c r="G9926" s="20"/>
      <c r="H9926"/>
      <c r="I9926"/>
    </row>
    <row r="9927" spans="2:9" ht="15" x14ac:dyDescent="0.25">
      <c r="B9927"/>
      <c r="C9927"/>
      <c r="D9927"/>
      <c r="E9927"/>
      <c r="F9927"/>
      <c r="G9927" s="20"/>
      <c r="H9927"/>
      <c r="I9927"/>
    </row>
    <row r="9928" spans="2:9" ht="15" x14ac:dyDescent="0.25">
      <c r="B9928"/>
      <c r="C9928"/>
      <c r="D9928"/>
      <c r="E9928"/>
      <c r="F9928"/>
      <c r="G9928" s="20"/>
      <c r="H9928"/>
      <c r="I9928"/>
    </row>
    <row r="9929" spans="2:9" ht="15" x14ac:dyDescent="0.25">
      <c r="B9929"/>
      <c r="C9929"/>
      <c r="D9929"/>
      <c r="E9929"/>
      <c r="F9929"/>
      <c r="G9929" s="20"/>
      <c r="H9929"/>
      <c r="I9929"/>
    </row>
    <row r="9930" spans="2:9" ht="15" x14ac:dyDescent="0.25">
      <c r="B9930"/>
      <c r="C9930"/>
      <c r="D9930"/>
      <c r="E9930"/>
      <c r="F9930"/>
      <c r="G9930" s="20"/>
      <c r="H9930"/>
      <c r="I9930"/>
    </row>
    <row r="9931" spans="2:9" ht="15" x14ac:dyDescent="0.25">
      <c r="B9931"/>
      <c r="C9931"/>
      <c r="D9931"/>
      <c r="E9931"/>
      <c r="F9931"/>
      <c r="G9931" s="20"/>
      <c r="H9931"/>
      <c r="I9931"/>
    </row>
    <row r="9932" spans="2:9" ht="15" x14ac:dyDescent="0.25">
      <c r="B9932"/>
      <c r="C9932"/>
      <c r="D9932"/>
      <c r="E9932"/>
      <c r="F9932"/>
      <c r="G9932" s="20"/>
      <c r="H9932"/>
      <c r="I9932"/>
    </row>
    <row r="9933" spans="2:9" ht="15" x14ac:dyDescent="0.25">
      <c r="B9933"/>
      <c r="C9933"/>
      <c r="D9933"/>
      <c r="E9933"/>
      <c r="F9933"/>
      <c r="G9933" s="20"/>
      <c r="H9933"/>
      <c r="I9933"/>
    </row>
    <row r="9934" spans="2:9" ht="15" x14ac:dyDescent="0.25">
      <c r="B9934"/>
      <c r="C9934"/>
      <c r="D9934"/>
      <c r="E9934"/>
      <c r="F9934"/>
      <c r="G9934" s="20"/>
      <c r="H9934"/>
      <c r="I9934"/>
    </row>
    <row r="9935" spans="2:9" ht="15" x14ac:dyDescent="0.25">
      <c r="B9935"/>
      <c r="C9935"/>
      <c r="D9935"/>
      <c r="E9935"/>
      <c r="F9935"/>
      <c r="G9935" s="20"/>
      <c r="H9935"/>
      <c r="I9935"/>
    </row>
    <row r="9936" spans="2:9" ht="15" x14ac:dyDescent="0.25">
      <c r="B9936"/>
      <c r="C9936"/>
      <c r="D9936"/>
      <c r="E9936"/>
      <c r="F9936"/>
      <c r="G9936" s="20"/>
      <c r="H9936"/>
      <c r="I9936"/>
    </row>
    <row r="9937" spans="2:9" ht="15" x14ac:dyDescent="0.25">
      <c r="B9937"/>
      <c r="C9937"/>
      <c r="D9937"/>
      <c r="E9937"/>
      <c r="F9937"/>
      <c r="G9937" s="20"/>
      <c r="H9937"/>
      <c r="I9937"/>
    </row>
    <row r="9938" spans="2:9" ht="15" x14ac:dyDescent="0.25">
      <c r="B9938"/>
      <c r="C9938"/>
      <c r="D9938"/>
      <c r="E9938"/>
      <c r="F9938"/>
      <c r="G9938" s="20"/>
      <c r="H9938"/>
      <c r="I9938"/>
    </row>
    <row r="9939" spans="2:9" ht="15" x14ac:dyDescent="0.25">
      <c r="B9939"/>
      <c r="C9939"/>
      <c r="D9939"/>
      <c r="E9939"/>
      <c r="F9939"/>
      <c r="G9939" s="20"/>
      <c r="H9939"/>
      <c r="I9939"/>
    </row>
    <row r="9940" spans="2:9" ht="15" x14ac:dyDescent="0.25">
      <c r="B9940"/>
      <c r="C9940"/>
      <c r="D9940"/>
      <c r="E9940"/>
      <c r="F9940"/>
      <c r="G9940" s="20"/>
      <c r="H9940"/>
      <c r="I9940"/>
    </row>
    <row r="9941" spans="2:9" ht="15" x14ac:dyDescent="0.25">
      <c r="B9941"/>
      <c r="C9941"/>
      <c r="D9941"/>
      <c r="E9941"/>
      <c r="F9941"/>
      <c r="G9941" s="20"/>
      <c r="H9941"/>
      <c r="I9941"/>
    </row>
    <row r="9942" spans="2:9" ht="15" x14ac:dyDescent="0.25">
      <c r="B9942"/>
      <c r="C9942"/>
      <c r="D9942"/>
      <c r="E9942"/>
      <c r="F9942"/>
      <c r="G9942" s="20"/>
      <c r="H9942"/>
      <c r="I9942"/>
    </row>
    <row r="9943" spans="2:9" ht="15" x14ac:dyDescent="0.25">
      <c r="B9943"/>
      <c r="C9943"/>
      <c r="D9943"/>
      <c r="E9943"/>
      <c r="F9943"/>
      <c r="G9943" s="20"/>
      <c r="H9943"/>
      <c r="I9943"/>
    </row>
    <row r="9944" spans="2:9" ht="15" x14ac:dyDescent="0.25">
      <c r="B9944"/>
      <c r="C9944"/>
      <c r="D9944"/>
      <c r="E9944"/>
      <c r="F9944"/>
      <c r="G9944" s="20"/>
      <c r="H9944"/>
      <c r="I9944"/>
    </row>
    <row r="9945" spans="2:9" ht="15" x14ac:dyDescent="0.25">
      <c r="B9945"/>
      <c r="C9945"/>
      <c r="D9945"/>
      <c r="E9945"/>
      <c r="F9945"/>
      <c r="G9945" s="20"/>
      <c r="H9945"/>
      <c r="I9945"/>
    </row>
    <row r="9946" spans="2:9" ht="15" x14ac:dyDescent="0.25">
      <c r="B9946"/>
      <c r="C9946"/>
      <c r="D9946"/>
      <c r="E9946"/>
      <c r="F9946"/>
      <c r="G9946" s="20"/>
      <c r="H9946"/>
      <c r="I9946"/>
    </row>
    <row r="9947" spans="2:9" ht="15" x14ac:dyDescent="0.25">
      <c r="B9947"/>
      <c r="C9947"/>
      <c r="D9947"/>
      <c r="E9947"/>
      <c r="F9947"/>
      <c r="G9947" s="20"/>
      <c r="H9947"/>
      <c r="I9947"/>
    </row>
    <row r="9948" spans="2:9" ht="15" x14ac:dyDescent="0.25">
      <c r="B9948"/>
      <c r="C9948"/>
      <c r="D9948"/>
      <c r="E9948"/>
      <c r="F9948"/>
      <c r="G9948" s="20"/>
      <c r="H9948"/>
      <c r="I9948"/>
    </row>
    <row r="9949" spans="2:9" ht="15" x14ac:dyDescent="0.25">
      <c r="B9949"/>
      <c r="C9949"/>
      <c r="D9949"/>
      <c r="E9949"/>
      <c r="F9949"/>
      <c r="G9949" s="20"/>
      <c r="H9949"/>
      <c r="I9949"/>
    </row>
    <row r="9950" spans="2:9" ht="15" x14ac:dyDescent="0.25">
      <c r="B9950"/>
      <c r="C9950"/>
      <c r="D9950"/>
      <c r="E9950"/>
      <c r="F9950"/>
      <c r="G9950" s="20"/>
      <c r="H9950"/>
      <c r="I9950"/>
    </row>
    <row r="9951" spans="2:9" ht="15" x14ac:dyDescent="0.25">
      <c r="B9951"/>
      <c r="C9951"/>
      <c r="D9951"/>
      <c r="E9951"/>
      <c r="F9951"/>
      <c r="G9951" s="20"/>
      <c r="H9951"/>
      <c r="I9951"/>
    </row>
    <row r="9952" spans="2:9" ht="15" x14ac:dyDescent="0.25">
      <c r="B9952"/>
      <c r="C9952"/>
      <c r="D9952"/>
      <c r="E9952"/>
      <c r="F9952"/>
      <c r="G9952" s="20"/>
      <c r="H9952"/>
      <c r="I9952"/>
    </row>
    <row r="9953" spans="2:9" ht="15" x14ac:dyDescent="0.25">
      <c r="B9953"/>
      <c r="C9953"/>
      <c r="D9953"/>
      <c r="E9953"/>
      <c r="F9953"/>
      <c r="G9953" s="20"/>
      <c r="H9953"/>
      <c r="I9953"/>
    </row>
    <row r="9954" spans="2:9" ht="15" x14ac:dyDescent="0.25">
      <c r="B9954"/>
      <c r="C9954"/>
      <c r="D9954"/>
      <c r="E9954"/>
      <c r="F9954"/>
      <c r="G9954" s="20"/>
      <c r="H9954"/>
      <c r="I9954"/>
    </row>
    <row r="9955" spans="2:9" ht="15" x14ac:dyDescent="0.25">
      <c r="B9955"/>
      <c r="C9955"/>
      <c r="D9955"/>
      <c r="E9955"/>
      <c r="F9955"/>
      <c r="G9955" s="20"/>
      <c r="H9955"/>
      <c r="I9955"/>
    </row>
    <row r="9956" spans="2:9" ht="15" x14ac:dyDescent="0.25">
      <c r="B9956"/>
      <c r="C9956"/>
      <c r="D9956"/>
      <c r="E9956"/>
      <c r="F9956"/>
      <c r="G9956" s="20"/>
      <c r="H9956"/>
      <c r="I9956"/>
    </row>
    <row r="9957" spans="2:9" ht="15" x14ac:dyDescent="0.25">
      <c r="B9957"/>
      <c r="C9957"/>
      <c r="D9957"/>
      <c r="E9957"/>
      <c r="F9957"/>
      <c r="G9957" s="20"/>
      <c r="H9957"/>
      <c r="I9957"/>
    </row>
    <row r="9958" spans="2:9" ht="15" x14ac:dyDescent="0.25">
      <c r="B9958"/>
      <c r="C9958"/>
      <c r="D9958"/>
      <c r="E9958"/>
      <c r="F9958"/>
      <c r="G9958" s="20"/>
      <c r="H9958"/>
      <c r="I9958"/>
    </row>
    <row r="9959" spans="2:9" ht="15" x14ac:dyDescent="0.25">
      <c r="B9959"/>
      <c r="C9959"/>
      <c r="D9959"/>
      <c r="E9959"/>
      <c r="F9959"/>
      <c r="G9959" s="20"/>
      <c r="H9959"/>
      <c r="I9959"/>
    </row>
    <row r="9960" spans="2:9" ht="15" x14ac:dyDescent="0.25">
      <c r="B9960"/>
      <c r="C9960"/>
      <c r="D9960"/>
      <c r="E9960"/>
      <c r="F9960"/>
      <c r="G9960" s="20"/>
      <c r="H9960"/>
      <c r="I9960"/>
    </row>
    <row r="9961" spans="2:9" ht="15" x14ac:dyDescent="0.25">
      <c r="B9961"/>
      <c r="C9961"/>
      <c r="D9961"/>
      <c r="E9961"/>
      <c r="F9961"/>
      <c r="G9961" s="20"/>
      <c r="H9961"/>
      <c r="I9961"/>
    </row>
    <row r="9962" spans="2:9" ht="15" x14ac:dyDescent="0.25">
      <c r="B9962"/>
      <c r="C9962"/>
      <c r="D9962"/>
      <c r="E9962"/>
      <c r="F9962"/>
      <c r="G9962" s="20"/>
      <c r="H9962"/>
      <c r="I9962"/>
    </row>
    <row r="9963" spans="2:9" ht="15" x14ac:dyDescent="0.25">
      <c r="B9963"/>
      <c r="C9963"/>
      <c r="D9963"/>
      <c r="E9963"/>
      <c r="F9963"/>
      <c r="G9963" s="20"/>
      <c r="H9963"/>
      <c r="I9963"/>
    </row>
    <row r="9964" spans="2:9" ht="15" x14ac:dyDescent="0.25">
      <c r="B9964"/>
      <c r="C9964"/>
      <c r="D9964"/>
      <c r="E9964"/>
      <c r="F9964"/>
      <c r="G9964" s="20"/>
      <c r="H9964"/>
      <c r="I9964"/>
    </row>
    <row r="9965" spans="2:9" ht="15" x14ac:dyDescent="0.25">
      <c r="B9965"/>
      <c r="C9965"/>
      <c r="D9965"/>
      <c r="E9965"/>
      <c r="F9965"/>
      <c r="G9965" s="20"/>
      <c r="H9965"/>
      <c r="I9965"/>
    </row>
    <row r="9966" spans="2:9" ht="15" x14ac:dyDescent="0.25">
      <c r="B9966"/>
      <c r="C9966"/>
      <c r="D9966"/>
      <c r="E9966"/>
      <c r="F9966"/>
      <c r="G9966" s="20"/>
      <c r="H9966"/>
      <c r="I9966"/>
    </row>
    <row r="9967" spans="2:9" ht="15" x14ac:dyDescent="0.25">
      <c r="B9967"/>
      <c r="C9967"/>
      <c r="D9967"/>
      <c r="E9967"/>
      <c r="F9967"/>
      <c r="G9967" s="20"/>
      <c r="H9967"/>
      <c r="I9967"/>
    </row>
    <row r="9968" spans="2:9" ht="15" x14ac:dyDescent="0.25">
      <c r="B9968"/>
      <c r="C9968"/>
      <c r="D9968"/>
      <c r="E9968"/>
      <c r="F9968"/>
      <c r="G9968" s="20"/>
      <c r="H9968"/>
      <c r="I9968"/>
    </row>
    <row r="9969" spans="2:9" ht="15" x14ac:dyDescent="0.25">
      <c r="B9969"/>
      <c r="C9969"/>
      <c r="D9969"/>
      <c r="E9969"/>
      <c r="F9969"/>
      <c r="G9969" s="20"/>
      <c r="H9969"/>
      <c r="I9969"/>
    </row>
    <row r="9970" spans="2:9" ht="15" x14ac:dyDescent="0.25">
      <c r="B9970"/>
      <c r="C9970"/>
      <c r="D9970"/>
      <c r="E9970"/>
      <c r="F9970"/>
      <c r="G9970" s="20"/>
      <c r="H9970"/>
      <c r="I9970"/>
    </row>
    <row r="9971" spans="2:9" ht="15" x14ac:dyDescent="0.25">
      <c r="B9971"/>
      <c r="C9971"/>
      <c r="D9971"/>
      <c r="E9971"/>
      <c r="F9971"/>
      <c r="G9971" s="20"/>
      <c r="H9971"/>
      <c r="I9971"/>
    </row>
    <row r="9972" spans="2:9" ht="15" x14ac:dyDescent="0.25">
      <c r="B9972"/>
      <c r="C9972"/>
      <c r="D9972"/>
      <c r="E9972"/>
      <c r="F9972"/>
      <c r="G9972" s="20"/>
      <c r="H9972"/>
      <c r="I9972"/>
    </row>
    <row r="9973" spans="2:9" ht="15" x14ac:dyDescent="0.25">
      <c r="B9973"/>
      <c r="C9973"/>
      <c r="D9973"/>
      <c r="E9973"/>
      <c r="F9973"/>
      <c r="G9973" s="20"/>
      <c r="H9973"/>
      <c r="I9973"/>
    </row>
    <row r="9974" spans="2:9" ht="15" x14ac:dyDescent="0.25">
      <c r="B9974"/>
      <c r="C9974"/>
      <c r="D9974"/>
      <c r="E9974"/>
      <c r="F9974"/>
      <c r="G9974" s="20"/>
      <c r="H9974"/>
      <c r="I9974"/>
    </row>
    <row r="9975" spans="2:9" ht="15" x14ac:dyDescent="0.25">
      <c r="B9975"/>
      <c r="C9975"/>
      <c r="D9975"/>
      <c r="E9975"/>
      <c r="F9975"/>
      <c r="G9975" s="20"/>
      <c r="H9975"/>
      <c r="I9975"/>
    </row>
    <row r="9976" spans="2:9" ht="15" x14ac:dyDescent="0.25">
      <c r="B9976"/>
      <c r="C9976"/>
      <c r="D9976"/>
      <c r="E9976"/>
      <c r="F9976"/>
      <c r="G9976" s="20"/>
      <c r="H9976"/>
      <c r="I9976"/>
    </row>
    <row r="9977" spans="2:9" ht="15" x14ac:dyDescent="0.25">
      <c r="B9977"/>
      <c r="C9977"/>
      <c r="D9977"/>
      <c r="E9977"/>
      <c r="F9977"/>
      <c r="G9977" s="20"/>
      <c r="H9977"/>
      <c r="I9977"/>
    </row>
    <row r="9978" spans="2:9" ht="15" x14ac:dyDescent="0.25">
      <c r="B9978"/>
      <c r="C9978"/>
      <c r="D9978"/>
      <c r="E9978"/>
      <c r="F9978"/>
      <c r="G9978" s="20"/>
      <c r="H9978"/>
      <c r="I9978"/>
    </row>
    <row r="9979" spans="2:9" ht="15" x14ac:dyDescent="0.25">
      <c r="B9979"/>
      <c r="C9979"/>
      <c r="D9979"/>
      <c r="E9979"/>
      <c r="F9979"/>
      <c r="G9979" s="20"/>
      <c r="H9979"/>
      <c r="I9979"/>
    </row>
    <row r="9980" spans="2:9" ht="15" x14ac:dyDescent="0.25">
      <c r="B9980"/>
      <c r="C9980"/>
      <c r="D9980"/>
      <c r="E9980"/>
      <c r="F9980"/>
      <c r="G9980" s="20"/>
      <c r="H9980"/>
      <c r="I9980"/>
    </row>
    <row r="9981" spans="2:9" ht="15" x14ac:dyDescent="0.25">
      <c r="B9981"/>
      <c r="C9981"/>
      <c r="D9981"/>
      <c r="E9981"/>
      <c r="F9981"/>
      <c r="G9981" s="20"/>
      <c r="H9981"/>
      <c r="I9981"/>
    </row>
    <row r="9982" spans="2:9" ht="15" x14ac:dyDescent="0.25">
      <c r="B9982"/>
      <c r="C9982"/>
      <c r="D9982"/>
      <c r="E9982"/>
      <c r="F9982"/>
      <c r="G9982" s="20"/>
      <c r="H9982"/>
      <c r="I9982"/>
    </row>
    <row r="9983" spans="2:9" ht="15" x14ac:dyDescent="0.25">
      <c r="B9983"/>
      <c r="C9983"/>
      <c r="D9983"/>
      <c r="E9983"/>
      <c r="F9983"/>
      <c r="G9983" s="20"/>
      <c r="H9983"/>
      <c r="I9983"/>
    </row>
    <row r="9984" spans="2:9" ht="15" x14ac:dyDescent="0.25">
      <c r="B9984"/>
      <c r="C9984"/>
      <c r="D9984"/>
      <c r="E9984"/>
      <c r="F9984"/>
      <c r="G9984" s="20"/>
      <c r="H9984"/>
      <c r="I9984"/>
    </row>
    <row r="9985" spans="2:9" ht="15" x14ac:dyDescent="0.25">
      <c r="B9985"/>
      <c r="C9985"/>
      <c r="D9985"/>
      <c r="E9985"/>
      <c r="F9985"/>
      <c r="G9985" s="20"/>
      <c r="H9985"/>
      <c r="I9985"/>
    </row>
    <row r="9986" spans="2:9" ht="15" x14ac:dyDescent="0.25">
      <c r="B9986"/>
      <c r="C9986"/>
      <c r="D9986"/>
      <c r="E9986"/>
      <c r="F9986"/>
      <c r="G9986" s="20"/>
      <c r="H9986"/>
      <c r="I9986"/>
    </row>
    <row r="9987" spans="2:9" ht="15" x14ac:dyDescent="0.25">
      <c r="B9987"/>
      <c r="C9987"/>
      <c r="D9987"/>
      <c r="E9987"/>
      <c r="F9987"/>
      <c r="G9987" s="20"/>
      <c r="H9987"/>
      <c r="I9987"/>
    </row>
    <row r="9988" spans="2:9" ht="15" x14ac:dyDescent="0.25">
      <c r="B9988"/>
      <c r="C9988"/>
      <c r="D9988"/>
      <c r="E9988"/>
      <c r="F9988"/>
      <c r="G9988" s="20"/>
      <c r="H9988"/>
      <c r="I9988"/>
    </row>
    <row r="9989" spans="2:9" ht="15" x14ac:dyDescent="0.25">
      <c r="B9989"/>
      <c r="C9989"/>
      <c r="D9989"/>
      <c r="E9989"/>
      <c r="F9989"/>
      <c r="G9989" s="20"/>
      <c r="H9989"/>
      <c r="I9989"/>
    </row>
    <row r="9990" spans="2:9" ht="15" x14ac:dyDescent="0.25">
      <c r="B9990"/>
      <c r="C9990"/>
      <c r="D9990"/>
      <c r="E9990"/>
      <c r="F9990"/>
      <c r="G9990" s="20"/>
      <c r="H9990"/>
      <c r="I9990"/>
    </row>
    <row r="9991" spans="2:9" ht="15" x14ac:dyDescent="0.25">
      <c r="B9991"/>
      <c r="C9991"/>
      <c r="D9991"/>
      <c r="E9991"/>
      <c r="F9991"/>
      <c r="G9991" s="20"/>
      <c r="H9991"/>
      <c r="I9991"/>
    </row>
    <row r="9992" spans="2:9" ht="15" x14ac:dyDescent="0.25">
      <c r="B9992"/>
      <c r="C9992"/>
      <c r="D9992"/>
      <c r="E9992"/>
      <c r="F9992"/>
      <c r="G9992" s="20"/>
      <c r="H9992"/>
      <c r="I9992"/>
    </row>
    <row r="9993" spans="2:9" ht="15" x14ac:dyDescent="0.25">
      <c r="B9993"/>
      <c r="C9993"/>
      <c r="D9993"/>
      <c r="E9993"/>
      <c r="F9993"/>
      <c r="G9993" s="20"/>
      <c r="H9993"/>
      <c r="I9993"/>
    </row>
    <row r="9994" spans="2:9" ht="15" x14ac:dyDescent="0.25">
      <c r="B9994"/>
      <c r="C9994"/>
      <c r="D9994"/>
      <c r="E9994"/>
      <c r="F9994"/>
      <c r="G9994" s="20"/>
      <c r="H9994"/>
      <c r="I9994"/>
    </row>
    <row r="9995" spans="2:9" ht="15" x14ac:dyDescent="0.25">
      <c r="B9995"/>
      <c r="C9995"/>
      <c r="D9995"/>
      <c r="E9995"/>
      <c r="F9995"/>
      <c r="G9995" s="20"/>
      <c r="H9995"/>
      <c r="I9995"/>
    </row>
    <row r="9996" spans="2:9" ht="15" x14ac:dyDescent="0.25">
      <c r="B9996"/>
      <c r="C9996"/>
      <c r="D9996"/>
      <c r="E9996"/>
      <c r="F9996"/>
      <c r="G9996" s="20"/>
      <c r="H9996"/>
      <c r="I9996"/>
    </row>
    <row r="9997" spans="2:9" ht="15" x14ac:dyDescent="0.25">
      <c r="B9997"/>
      <c r="C9997"/>
      <c r="D9997"/>
      <c r="E9997"/>
      <c r="F9997"/>
      <c r="G9997" s="20"/>
      <c r="H9997"/>
      <c r="I9997"/>
    </row>
    <row r="9998" spans="2:9" ht="15" x14ac:dyDescent="0.25">
      <c r="B9998"/>
      <c r="C9998"/>
      <c r="D9998"/>
      <c r="E9998"/>
      <c r="F9998"/>
      <c r="G9998" s="20"/>
      <c r="H9998"/>
      <c r="I9998"/>
    </row>
    <row r="9999" spans="2:9" ht="15" x14ac:dyDescent="0.25">
      <c r="B9999"/>
      <c r="C9999"/>
      <c r="D9999"/>
      <c r="E9999"/>
      <c r="F9999"/>
      <c r="G9999" s="20"/>
      <c r="H9999"/>
      <c r="I9999"/>
    </row>
    <row r="10000" spans="2:9" ht="15" x14ac:dyDescent="0.25">
      <c r="B10000"/>
      <c r="C10000"/>
      <c r="D10000"/>
      <c r="E10000"/>
      <c r="F10000"/>
      <c r="G10000" s="20"/>
      <c r="H10000"/>
      <c r="I10000"/>
    </row>
    <row r="10001" spans="2:9" ht="15" x14ac:dyDescent="0.25">
      <c r="B10001"/>
      <c r="C10001"/>
      <c r="D10001"/>
      <c r="E10001"/>
      <c r="F10001"/>
      <c r="G10001" s="20"/>
      <c r="H10001"/>
      <c r="I10001"/>
    </row>
    <row r="10002" spans="2:9" ht="15" x14ac:dyDescent="0.25">
      <c r="B10002"/>
      <c r="C10002"/>
      <c r="D10002"/>
      <c r="E10002"/>
      <c r="F10002"/>
      <c r="G10002" s="20"/>
      <c r="H10002"/>
      <c r="I10002"/>
    </row>
    <row r="10003" spans="2:9" ht="15" x14ac:dyDescent="0.25">
      <c r="B10003"/>
      <c r="C10003"/>
      <c r="D10003"/>
      <c r="E10003"/>
      <c r="F10003"/>
      <c r="G10003" s="20"/>
      <c r="H10003"/>
      <c r="I10003"/>
    </row>
    <row r="10004" spans="2:9" ht="15" x14ac:dyDescent="0.25">
      <c r="B10004"/>
      <c r="C10004"/>
      <c r="D10004"/>
      <c r="E10004"/>
      <c r="F10004"/>
      <c r="G10004" s="20"/>
      <c r="H10004"/>
      <c r="I10004"/>
    </row>
    <row r="10005" spans="2:9" ht="15" x14ac:dyDescent="0.25">
      <c r="B10005"/>
      <c r="C10005"/>
      <c r="D10005"/>
      <c r="E10005"/>
      <c r="F10005"/>
      <c r="G10005" s="20"/>
      <c r="H10005"/>
      <c r="I10005"/>
    </row>
    <row r="10006" spans="2:9" ht="15" x14ac:dyDescent="0.25">
      <c r="B10006"/>
      <c r="C10006"/>
      <c r="D10006"/>
      <c r="E10006"/>
      <c r="F10006"/>
      <c r="G10006" s="20"/>
      <c r="H10006"/>
      <c r="I10006"/>
    </row>
    <row r="10007" spans="2:9" ht="15" x14ac:dyDescent="0.25">
      <c r="B10007"/>
      <c r="C10007"/>
      <c r="D10007"/>
      <c r="E10007"/>
      <c r="F10007"/>
      <c r="G10007" s="20"/>
      <c r="H10007"/>
      <c r="I10007"/>
    </row>
    <row r="10008" spans="2:9" ht="15" x14ac:dyDescent="0.25">
      <c r="B10008"/>
      <c r="C10008"/>
      <c r="D10008"/>
      <c r="E10008"/>
      <c r="F10008"/>
      <c r="G10008" s="20"/>
      <c r="H10008"/>
      <c r="I10008"/>
    </row>
    <row r="10009" spans="2:9" ht="15" x14ac:dyDescent="0.25">
      <c r="B10009"/>
      <c r="C10009"/>
      <c r="D10009"/>
      <c r="E10009"/>
      <c r="F10009"/>
      <c r="G10009" s="20"/>
      <c r="H10009"/>
      <c r="I10009"/>
    </row>
    <row r="10010" spans="2:9" ht="15" x14ac:dyDescent="0.25">
      <c r="B10010"/>
      <c r="C10010"/>
      <c r="D10010"/>
      <c r="E10010"/>
      <c r="F10010"/>
      <c r="G10010" s="20"/>
      <c r="H10010"/>
      <c r="I10010"/>
    </row>
    <row r="10011" spans="2:9" ht="15" x14ac:dyDescent="0.25">
      <c r="B10011"/>
      <c r="C10011"/>
      <c r="D10011"/>
      <c r="E10011"/>
      <c r="F10011"/>
      <c r="G10011" s="20"/>
      <c r="H10011"/>
      <c r="I10011"/>
    </row>
    <row r="10012" spans="2:9" ht="15" x14ac:dyDescent="0.25">
      <c r="B10012"/>
      <c r="C10012"/>
      <c r="D10012"/>
      <c r="E10012"/>
      <c r="F10012"/>
      <c r="G10012" s="20"/>
      <c r="H10012"/>
      <c r="I10012"/>
    </row>
    <row r="10013" spans="2:9" ht="15" x14ac:dyDescent="0.25">
      <c r="B10013"/>
      <c r="C10013"/>
      <c r="D10013"/>
      <c r="E10013"/>
      <c r="F10013"/>
      <c r="G10013" s="20"/>
      <c r="H10013"/>
      <c r="I10013"/>
    </row>
    <row r="10014" spans="2:9" ht="15" x14ac:dyDescent="0.25">
      <c r="B10014"/>
      <c r="C10014"/>
      <c r="D10014"/>
      <c r="E10014"/>
      <c r="F10014"/>
      <c r="G10014" s="20"/>
      <c r="H10014"/>
      <c r="I10014"/>
    </row>
    <row r="10015" spans="2:9" ht="15" x14ac:dyDescent="0.25">
      <c r="B10015"/>
      <c r="C10015"/>
      <c r="D10015"/>
      <c r="E10015"/>
      <c r="F10015"/>
      <c r="G10015" s="20"/>
      <c r="H10015"/>
      <c r="I10015"/>
    </row>
    <row r="10016" spans="2:9" ht="15" x14ac:dyDescent="0.25">
      <c r="B10016"/>
      <c r="C10016"/>
      <c r="D10016"/>
      <c r="E10016"/>
      <c r="F10016"/>
      <c r="G10016" s="20"/>
      <c r="H10016"/>
      <c r="I10016"/>
    </row>
    <row r="10017" spans="2:9" ht="15" x14ac:dyDescent="0.25">
      <c r="B10017"/>
      <c r="C10017"/>
      <c r="D10017"/>
      <c r="E10017"/>
      <c r="F10017"/>
      <c r="G10017" s="20"/>
      <c r="H10017"/>
      <c r="I10017"/>
    </row>
    <row r="10018" spans="2:9" ht="15" x14ac:dyDescent="0.25">
      <c r="B10018"/>
      <c r="C10018"/>
      <c r="D10018"/>
      <c r="E10018"/>
      <c r="F10018"/>
      <c r="G10018" s="20"/>
      <c r="H10018"/>
      <c r="I10018"/>
    </row>
    <row r="10019" spans="2:9" ht="15" x14ac:dyDescent="0.25">
      <c r="B10019"/>
      <c r="C10019"/>
      <c r="D10019"/>
      <c r="E10019"/>
      <c r="F10019"/>
      <c r="G10019" s="20"/>
      <c r="H10019"/>
      <c r="I10019"/>
    </row>
    <row r="10020" spans="2:9" ht="15" x14ac:dyDescent="0.25">
      <c r="B10020"/>
      <c r="C10020"/>
      <c r="D10020"/>
      <c r="E10020"/>
      <c r="F10020"/>
      <c r="G10020" s="20"/>
      <c r="H10020"/>
      <c r="I10020"/>
    </row>
    <row r="10021" spans="2:9" ht="15" x14ac:dyDescent="0.25">
      <c r="B10021"/>
      <c r="C10021"/>
      <c r="D10021"/>
      <c r="E10021"/>
      <c r="F10021"/>
      <c r="G10021" s="20"/>
      <c r="H10021"/>
      <c r="I10021"/>
    </row>
    <row r="10022" spans="2:9" ht="15" x14ac:dyDescent="0.25">
      <c r="B10022"/>
      <c r="C10022"/>
      <c r="D10022"/>
      <c r="E10022"/>
      <c r="F10022"/>
      <c r="G10022" s="20"/>
      <c r="H10022"/>
      <c r="I10022"/>
    </row>
    <row r="10023" spans="2:9" ht="15" x14ac:dyDescent="0.25">
      <c r="B10023"/>
      <c r="C10023"/>
      <c r="D10023"/>
      <c r="E10023"/>
      <c r="F10023"/>
      <c r="G10023" s="20"/>
      <c r="H10023"/>
      <c r="I10023"/>
    </row>
    <row r="10024" spans="2:9" ht="15" x14ac:dyDescent="0.25">
      <c r="B10024"/>
      <c r="C10024"/>
      <c r="D10024"/>
      <c r="E10024"/>
      <c r="F10024"/>
      <c r="G10024" s="20"/>
      <c r="H10024"/>
      <c r="I10024"/>
    </row>
    <row r="10025" spans="2:9" ht="15" x14ac:dyDescent="0.25">
      <c r="B10025"/>
      <c r="C10025"/>
      <c r="D10025"/>
      <c r="E10025"/>
      <c r="F10025"/>
      <c r="G10025" s="20"/>
      <c r="H10025"/>
      <c r="I10025"/>
    </row>
    <row r="10026" spans="2:9" ht="15" x14ac:dyDescent="0.25">
      <c r="B10026"/>
      <c r="C10026"/>
      <c r="D10026"/>
      <c r="E10026"/>
      <c r="F10026"/>
      <c r="G10026" s="20"/>
      <c r="H10026"/>
      <c r="I10026"/>
    </row>
    <row r="10027" spans="2:9" ht="15" x14ac:dyDescent="0.25">
      <c r="B10027"/>
      <c r="C10027"/>
      <c r="D10027"/>
      <c r="E10027"/>
      <c r="F10027"/>
      <c r="G10027" s="20"/>
      <c r="H10027"/>
      <c r="I10027"/>
    </row>
    <row r="10028" spans="2:9" ht="15" x14ac:dyDescent="0.25">
      <c r="B10028"/>
      <c r="C10028"/>
      <c r="D10028"/>
      <c r="E10028"/>
      <c r="F10028"/>
      <c r="G10028" s="20"/>
      <c r="H10028"/>
      <c r="I10028"/>
    </row>
    <row r="10029" spans="2:9" ht="15" x14ac:dyDescent="0.25">
      <c r="B10029"/>
      <c r="C10029"/>
      <c r="D10029"/>
      <c r="E10029"/>
      <c r="F10029"/>
      <c r="G10029" s="20"/>
      <c r="H10029"/>
      <c r="I10029"/>
    </row>
    <row r="10030" spans="2:9" ht="15" x14ac:dyDescent="0.25">
      <c r="B10030"/>
      <c r="C10030"/>
      <c r="D10030"/>
      <c r="E10030"/>
      <c r="F10030"/>
      <c r="G10030" s="20"/>
      <c r="H10030"/>
      <c r="I10030"/>
    </row>
    <row r="10031" spans="2:9" ht="15" x14ac:dyDescent="0.25">
      <c r="B10031"/>
      <c r="C10031"/>
      <c r="D10031"/>
      <c r="E10031"/>
      <c r="F10031"/>
      <c r="G10031" s="20"/>
      <c r="H10031"/>
      <c r="I10031"/>
    </row>
    <row r="10032" spans="2:9" ht="15" x14ac:dyDescent="0.25">
      <c r="B10032"/>
      <c r="C10032"/>
      <c r="D10032"/>
      <c r="E10032"/>
      <c r="F10032"/>
      <c r="G10032" s="20"/>
      <c r="H10032"/>
      <c r="I10032"/>
    </row>
    <row r="10033" spans="2:9" ht="15" x14ac:dyDescent="0.25">
      <c r="B10033"/>
      <c r="C10033"/>
      <c r="D10033"/>
      <c r="E10033"/>
      <c r="F10033"/>
      <c r="G10033" s="20"/>
      <c r="H10033"/>
      <c r="I10033"/>
    </row>
    <row r="10034" spans="2:9" ht="15" x14ac:dyDescent="0.25">
      <c r="B10034"/>
      <c r="C10034"/>
      <c r="D10034"/>
      <c r="E10034"/>
      <c r="F10034"/>
      <c r="G10034" s="20"/>
      <c r="H10034"/>
      <c r="I10034"/>
    </row>
    <row r="10035" spans="2:9" ht="15" x14ac:dyDescent="0.25">
      <c r="B10035"/>
      <c r="C10035"/>
      <c r="D10035"/>
      <c r="E10035"/>
      <c r="F10035"/>
      <c r="G10035" s="20"/>
      <c r="H10035"/>
      <c r="I10035"/>
    </row>
    <row r="10036" spans="2:9" ht="15" x14ac:dyDescent="0.25">
      <c r="B10036"/>
      <c r="C10036"/>
      <c r="D10036"/>
      <c r="E10036"/>
      <c r="F10036"/>
      <c r="G10036" s="20"/>
      <c r="H10036"/>
      <c r="I10036"/>
    </row>
    <row r="10037" spans="2:9" ht="15" x14ac:dyDescent="0.25">
      <c r="B10037"/>
      <c r="C10037"/>
      <c r="D10037"/>
      <c r="E10037"/>
      <c r="F10037"/>
      <c r="G10037" s="20"/>
      <c r="H10037"/>
      <c r="I10037"/>
    </row>
    <row r="10038" spans="2:9" ht="15" x14ac:dyDescent="0.25">
      <c r="B10038"/>
      <c r="C10038"/>
      <c r="D10038"/>
      <c r="E10038"/>
      <c r="F10038"/>
      <c r="G10038" s="20"/>
      <c r="H10038"/>
      <c r="I10038"/>
    </row>
    <row r="10039" spans="2:9" ht="15" x14ac:dyDescent="0.25">
      <c r="B10039"/>
      <c r="C10039"/>
      <c r="D10039"/>
      <c r="E10039"/>
      <c r="F10039"/>
      <c r="G10039" s="20"/>
      <c r="H10039"/>
      <c r="I10039"/>
    </row>
    <row r="10040" spans="2:9" ht="15" x14ac:dyDescent="0.25">
      <c r="B10040"/>
      <c r="C10040"/>
      <c r="D10040"/>
      <c r="E10040"/>
      <c r="F10040"/>
      <c r="G10040" s="20"/>
      <c r="H10040"/>
      <c r="I10040"/>
    </row>
    <row r="10041" spans="2:9" ht="15" x14ac:dyDescent="0.25">
      <c r="B10041"/>
      <c r="C10041"/>
      <c r="D10041"/>
      <c r="E10041"/>
      <c r="F10041"/>
      <c r="G10041" s="20"/>
      <c r="H10041"/>
      <c r="I10041"/>
    </row>
    <row r="10042" spans="2:9" ht="15" x14ac:dyDescent="0.25">
      <c r="B10042"/>
      <c r="C10042"/>
      <c r="D10042"/>
      <c r="E10042"/>
      <c r="F10042"/>
      <c r="G10042" s="20"/>
      <c r="H10042"/>
      <c r="I10042"/>
    </row>
    <row r="10043" spans="2:9" ht="15" x14ac:dyDescent="0.25">
      <c r="B10043"/>
      <c r="C10043"/>
      <c r="D10043"/>
      <c r="E10043"/>
      <c r="F10043"/>
      <c r="G10043" s="20"/>
      <c r="H10043"/>
      <c r="I10043"/>
    </row>
    <row r="10044" spans="2:9" ht="15" x14ac:dyDescent="0.25">
      <c r="B10044"/>
      <c r="C10044"/>
      <c r="D10044"/>
      <c r="E10044"/>
      <c r="F10044"/>
      <c r="G10044" s="20"/>
      <c r="H10044"/>
      <c r="I10044"/>
    </row>
    <row r="10045" spans="2:9" ht="15" x14ac:dyDescent="0.25">
      <c r="B10045"/>
      <c r="C10045"/>
      <c r="D10045"/>
      <c r="E10045"/>
      <c r="F10045"/>
      <c r="G10045" s="20"/>
      <c r="H10045"/>
      <c r="I10045"/>
    </row>
    <row r="10046" spans="2:9" ht="15" x14ac:dyDescent="0.25">
      <c r="B10046"/>
      <c r="C10046"/>
      <c r="D10046"/>
      <c r="E10046"/>
      <c r="F10046"/>
      <c r="G10046" s="20"/>
      <c r="H10046"/>
      <c r="I10046"/>
    </row>
    <row r="10047" spans="2:9" ht="15" x14ac:dyDescent="0.25">
      <c r="B10047"/>
      <c r="C10047"/>
      <c r="D10047"/>
      <c r="E10047"/>
      <c r="F10047"/>
      <c r="G10047" s="20"/>
      <c r="H10047"/>
      <c r="I10047"/>
    </row>
    <row r="10048" spans="2:9" ht="15" x14ac:dyDescent="0.25">
      <c r="B10048"/>
      <c r="C10048"/>
      <c r="D10048"/>
      <c r="E10048"/>
      <c r="F10048"/>
      <c r="G10048" s="20"/>
      <c r="H10048"/>
      <c r="I10048"/>
    </row>
    <row r="10049" spans="2:9" ht="15" x14ac:dyDescent="0.25">
      <c r="B10049"/>
      <c r="C10049"/>
      <c r="D10049"/>
      <c r="E10049"/>
      <c r="F10049"/>
      <c r="G10049" s="20"/>
      <c r="H10049"/>
      <c r="I10049"/>
    </row>
    <row r="10050" spans="2:9" ht="15" x14ac:dyDescent="0.25">
      <c r="B10050"/>
      <c r="C10050"/>
      <c r="D10050"/>
      <c r="E10050"/>
      <c r="F10050"/>
      <c r="G10050" s="20"/>
      <c r="H10050"/>
      <c r="I10050"/>
    </row>
    <row r="10051" spans="2:9" ht="15" x14ac:dyDescent="0.25">
      <c r="B10051"/>
      <c r="C10051"/>
      <c r="D10051"/>
      <c r="E10051"/>
      <c r="F10051"/>
      <c r="G10051" s="20"/>
      <c r="H10051"/>
      <c r="I10051"/>
    </row>
    <row r="10052" spans="2:9" ht="15" x14ac:dyDescent="0.25">
      <c r="B10052"/>
      <c r="C10052"/>
      <c r="D10052"/>
      <c r="E10052"/>
      <c r="F10052"/>
      <c r="G10052" s="20"/>
      <c r="H10052"/>
      <c r="I10052"/>
    </row>
    <row r="10053" spans="2:9" ht="15" x14ac:dyDescent="0.25">
      <c r="B10053"/>
      <c r="C10053"/>
      <c r="D10053"/>
      <c r="E10053"/>
      <c r="F10053"/>
      <c r="G10053" s="20"/>
      <c r="H10053"/>
      <c r="I10053"/>
    </row>
    <row r="10054" spans="2:9" ht="15" x14ac:dyDescent="0.25">
      <c r="B10054"/>
      <c r="C10054"/>
      <c r="D10054"/>
      <c r="E10054"/>
      <c r="F10054"/>
      <c r="G10054" s="20"/>
      <c r="H10054"/>
      <c r="I10054"/>
    </row>
    <row r="10055" spans="2:9" ht="15" x14ac:dyDescent="0.25">
      <c r="B10055"/>
      <c r="C10055"/>
      <c r="D10055"/>
      <c r="E10055"/>
      <c r="F10055"/>
      <c r="G10055" s="20"/>
      <c r="H10055"/>
      <c r="I10055"/>
    </row>
    <row r="10056" spans="2:9" ht="15" x14ac:dyDescent="0.25">
      <c r="B10056"/>
      <c r="C10056"/>
      <c r="D10056"/>
      <c r="E10056"/>
      <c r="F10056"/>
      <c r="G10056" s="20"/>
      <c r="H10056"/>
      <c r="I10056"/>
    </row>
    <row r="10057" spans="2:9" ht="15" x14ac:dyDescent="0.25">
      <c r="B10057"/>
      <c r="C10057"/>
      <c r="D10057"/>
      <c r="E10057"/>
      <c r="F10057"/>
      <c r="G10057" s="20"/>
      <c r="H10057"/>
      <c r="I10057"/>
    </row>
    <row r="10058" spans="2:9" ht="15" x14ac:dyDescent="0.25">
      <c r="B10058"/>
      <c r="C10058"/>
      <c r="D10058"/>
      <c r="E10058"/>
      <c r="F10058"/>
      <c r="G10058" s="20"/>
      <c r="H10058"/>
      <c r="I10058"/>
    </row>
    <row r="10059" spans="2:9" ht="15" x14ac:dyDescent="0.25">
      <c r="B10059"/>
      <c r="C10059"/>
      <c r="D10059"/>
      <c r="E10059"/>
      <c r="F10059"/>
      <c r="G10059" s="20"/>
      <c r="H10059"/>
      <c r="I10059"/>
    </row>
    <row r="10060" spans="2:9" ht="15" x14ac:dyDescent="0.25">
      <c r="B10060"/>
      <c r="C10060"/>
      <c r="D10060"/>
      <c r="E10060"/>
      <c r="F10060"/>
      <c r="G10060" s="20"/>
      <c r="H10060"/>
      <c r="I10060"/>
    </row>
    <row r="10061" spans="2:9" ht="15" x14ac:dyDescent="0.25">
      <c r="B10061"/>
      <c r="C10061"/>
      <c r="D10061"/>
      <c r="E10061"/>
      <c r="F10061"/>
      <c r="G10061" s="20"/>
      <c r="H10061"/>
      <c r="I10061"/>
    </row>
    <row r="10062" spans="2:9" ht="15" x14ac:dyDescent="0.25">
      <c r="B10062"/>
      <c r="C10062"/>
      <c r="D10062"/>
      <c r="E10062"/>
      <c r="F10062"/>
      <c r="G10062" s="20"/>
      <c r="H10062"/>
      <c r="I10062"/>
    </row>
    <row r="10063" spans="2:9" ht="15" x14ac:dyDescent="0.25">
      <c r="B10063"/>
      <c r="C10063"/>
      <c r="D10063"/>
      <c r="E10063"/>
      <c r="F10063"/>
      <c r="G10063" s="20"/>
      <c r="H10063"/>
      <c r="I10063"/>
    </row>
    <row r="10064" spans="2:9" ht="15" x14ac:dyDescent="0.25">
      <c r="B10064"/>
      <c r="C10064"/>
      <c r="D10064"/>
      <c r="E10064"/>
      <c r="F10064"/>
      <c r="G10064" s="20"/>
      <c r="H10064"/>
      <c r="I10064"/>
    </row>
    <row r="10065" spans="2:9" ht="15" x14ac:dyDescent="0.25">
      <c r="B10065"/>
      <c r="C10065"/>
      <c r="D10065"/>
      <c r="E10065"/>
      <c r="F10065"/>
      <c r="G10065" s="20"/>
      <c r="H10065"/>
      <c r="I10065"/>
    </row>
    <row r="10066" spans="2:9" ht="15" x14ac:dyDescent="0.25">
      <c r="B10066"/>
      <c r="C10066"/>
      <c r="D10066"/>
      <c r="E10066"/>
      <c r="F10066"/>
      <c r="G10066" s="20"/>
      <c r="H10066"/>
      <c r="I10066"/>
    </row>
    <row r="10067" spans="2:9" ht="15" x14ac:dyDescent="0.25">
      <c r="B10067"/>
      <c r="C10067"/>
      <c r="D10067"/>
      <c r="E10067"/>
      <c r="F10067"/>
      <c r="G10067" s="20"/>
      <c r="H10067"/>
      <c r="I10067"/>
    </row>
    <row r="10068" spans="2:9" ht="15" x14ac:dyDescent="0.25">
      <c r="B10068"/>
      <c r="C10068"/>
      <c r="D10068"/>
      <c r="E10068"/>
      <c r="F10068"/>
      <c r="G10068" s="20"/>
      <c r="H10068"/>
      <c r="I10068"/>
    </row>
    <row r="10069" spans="2:9" ht="15" x14ac:dyDescent="0.25">
      <c r="B10069"/>
      <c r="C10069"/>
      <c r="D10069"/>
      <c r="E10069"/>
      <c r="F10069"/>
      <c r="G10069" s="20"/>
      <c r="H10069"/>
      <c r="I10069"/>
    </row>
    <row r="10070" spans="2:9" ht="15" x14ac:dyDescent="0.25">
      <c r="B10070"/>
      <c r="C10070"/>
      <c r="D10070"/>
      <c r="E10070"/>
      <c r="F10070"/>
      <c r="G10070" s="20"/>
      <c r="H10070"/>
      <c r="I10070"/>
    </row>
    <row r="10071" spans="2:9" ht="15" x14ac:dyDescent="0.25">
      <c r="B10071"/>
      <c r="C10071"/>
      <c r="D10071"/>
      <c r="E10071"/>
      <c r="F10071"/>
      <c r="G10071" s="20"/>
      <c r="H10071"/>
      <c r="I10071"/>
    </row>
    <row r="10072" spans="2:9" ht="15" x14ac:dyDescent="0.25">
      <c r="B10072"/>
      <c r="C10072"/>
      <c r="D10072"/>
      <c r="E10072"/>
      <c r="F10072"/>
      <c r="G10072" s="20"/>
      <c r="H10072"/>
      <c r="I10072"/>
    </row>
    <row r="10073" spans="2:9" ht="15" x14ac:dyDescent="0.25">
      <c r="B10073"/>
      <c r="C10073"/>
      <c r="D10073"/>
      <c r="E10073"/>
      <c r="F10073"/>
      <c r="G10073" s="20"/>
      <c r="H10073"/>
      <c r="I10073"/>
    </row>
    <row r="10074" spans="2:9" ht="15" x14ac:dyDescent="0.25">
      <c r="B10074"/>
      <c r="C10074"/>
      <c r="D10074"/>
      <c r="E10074"/>
      <c r="F10074"/>
      <c r="G10074" s="20"/>
      <c r="H10074"/>
      <c r="I10074"/>
    </row>
    <row r="10075" spans="2:9" ht="15" x14ac:dyDescent="0.25">
      <c r="B10075"/>
      <c r="C10075"/>
      <c r="D10075"/>
      <c r="E10075"/>
      <c r="F10075"/>
      <c r="G10075" s="20"/>
      <c r="H10075"/>
      <c r="I10075"/>
    </row>
    <row r="10076" spans="2:9" ht="15" x14ac:dyDescent="0.25">
      <c r="B10076"/>
      <c r="C10076"/>
      <c r="D10076"/>
      <c r="E10076"/>
      <c r="F10076"/>
      <c r="G10076" s="20"/>
      <c r="H10076"/>
      <c r="I10076"/>
    </row>
    <row r="10077" spans="2:9" ht="15" x14ac:dyDescent="0.25">
      <c r="B10077"/>
      <c r="C10077"/>
      <c r="D10077"/>
      <c r="E10077"/>
      <c r="F10077"/>
      <c r="G10077" s="20"/>
      <c r="H10077"/>
      <c r="I10077"/>
    </row>
    <row r="10078" spans="2:9" ht="15" x14ac:dyDescent="0.25">
      <c r="B10078"/>
      <c r="C10078"/>
      <c r="D10078"/>
      <c r="E10078"/>
      <c r="F10078"/>
      <c r="G10078" s="20"/>
      <c r="H10078"/>
      <c r="I10078"/>
    </row>
    <row r="10079" spans="2:9" ht="15" x14ac:dyDescent="0.25">
      <c r="B10079"/>
      <c r="C10079"/>
      <c r="D10079"/>
      <c r="E10079"/>
      <c r="F10079"/>
      <c r="G10079" s="20"/>
      <c r="H10079"/>
      <c r="I10079"/>
    </row>
    <row r="10080" spans="2:9" ht="15" x14ac:dyDescent="0.25">
      <c r="B10080"/>
      <c r="C10080"/>
      <c r="D10080"/>
      <c r="E10080"/>
      <c r="F10080"/>
      <c r="G10080" s="20"/>
      <c r="H10080"/>
      <c r="I10080"/>
    </row>
    <row r="10081" spans="2:9" ht="15" x14ac:dyDescent="0.25">
      <c r="B10081"/>
      <c r="C10081"/>
      <c r="D10081"/>
      <c r="E10081"/>
      <c r="F10081"/>
      <c r="G10081" s="20"/>
      <c r="H10081"/>
      <c r="I10081"/>
    </row>
    <row r="10082" spans="2:9" ht="15" x14ac:dyDescent="0.25">
      <c r="B10082"/>
      <c r="C10082"/>
      <c r="D10082"/>
      <c r="E10082"/>
      <c r="F10082"/>
      <c r="G10082" s="20"/>
      <c r="H10082"/>
      <c r="I10082"/>
    </row>
    <row r="10083" spans="2:9" ht="15" x14ac:dyDescent="0.25">
      <c r="B10083"/>
      <c r="C10083"/>
      <c r="D10083"/>
      <c r="E10083"/>
      <c r="F10083"/>
      <c r="G10083" s="20"/>
      <c r="H10083"/>
      <c r="I10083"/>
    </row>
    <row r="10084" spans="2:9" ht="15" x14ac:dyDescent="0.25">
      <c r="B10084"/>
      <c r="C10084"/>
      <c r="D10084"/>
      <c r="E10084"/>
      <c r="F10084"/>
      <c r="G10084" s="20"/>
      <c r="H10084"/>
      <c r="I10084"/>
    </row>
    <row r="10085" spans="2:9" ht="15" x14ac:dyDescent="0.25">
      <c r="B10085"/>
      <c r="C10085"/>
      <c r="D10085"/>
      <c r="E10085"/>
      <c r="F10085"/>
      <c r="G10085" s="20"/>
      <c r="H10085"/>
      <c r="I10085"/>
    </row>
    <row r="10086" spans="2:9" ht="15" x14ac:dyDescent="0.25">
      <c r="B10086"/>
      <c r="C10086"/>
      <c r="D10086"/>
      <c r="E10086"/>
      <c r="F10086"/>
      <c r="G10086" s="20"/>
      <c r="H10086"/>
      <c r="I10086"/>
    </row>
    <row r="10087" spans="2:9" ht="15" x14ac:dyDescent="0.25">
      <c r="B10087"/>
      <c r="C10087"/>
      <c r="D10087"/>
      <c r="E10087"/>
      <c r="F10087"/>
      <c r="G10087" s="20"/>
      <c r="H10087"/>
      <c r="I10087"/>
    </row>
    <row r="10088" spans="2:9" ht="15" x14ac:dyDescent="0.25">
      <c r="B10088"/>
      <c r="C10088"/>
      <c r="D10088"/>
      <c r="E10088"/>
      <c r="F10088"/>
      <c r="G10088" s="20"/>
      <c r="H10088"/>
      <c r="I10088"/>
    </row>
    <row r="10089" spans="2:9" ht="15" x14ac:dyDescent="0.25">
      <c r="B10089"/>
      <c r="C10089"/>
      <c r="D10089"/>
      <c r="E10089"/>
      <c r="F10089"/>
      <c r="G10089" s="20"/>
      <c r="H10089"/>
      <c r="I10089"/>
    </row>
    <row r="10090" spans="2:9" ht="15" x14ac:dyDescent="0.25">
      <c r="B10090"/>
      <c r="C10090"/>
      <c r="D10090"/>
      <c r="E10090"/>
      <c r="F10090"/>
      <c r="G10090" s="20"/>
      <c r="H10090"/>
      <c r="I10090"/>
    </row>
    <row r="10091" spans="2:9" ht="15" x14ac:dyDescent="0.25">
      <c r="B10091"/>
      <c r="C10091"/>
      <c r="D10091"/>
      <c r="E10091"/>
      <c r="F10091"/>
      <c r="G10091" s="20"/>
      <c r="H10091"/>
      <c r="I10091"/>
    </row>
    <row r="10092" spans="2:9" ht="15" x14ac:dyDescent="0.25">
      <c r="B10092"/>
      <c r="C10092"/>
      <c r="D10092"/>
      <c r="E10092"/>
      <c r="F10092"/>
      <c r="G10092" s="20"/>
      <c r="H10092"/>
      <c r="I10092"/>
    </row>
    <row r="10093" spans="2:9" ht="15" x14ac:dyDescent="0.25">
      <c r="B10093"/>
      <c r="C10093"/>
      <c r="D10093"/>
      <c r="E10093"/>
      <c r="F10093"/>
      <c r="G10093" s="20"/>
      <c r="H10093"/>
      <c r="I10093"/>
    </row>
    <row r="10094" spans="2:9" ht="15" x14ac:dyDescent="0.25">
      <c r="B10094"/>
      <c r="C10094"/>
      <c r="D10094"/>
      <c r="E10094"/>
      <c r="F10094"/>
      <c r="G10094" s="20"/>
      <c r="H10094"/>
      <c r="I10094"/>
    </row>
    <row r="10095" spans="2:9" ht="15" x14ac:dyDescent="0.25">
      <c r="B10095"/>
      <c r="C10095"/>
      <c r="D10095"/>
      <c r="E10095"/>
      <c r="F10095"/>
      <c r="G10095" s="20"/>
      <c r="H10095"/>
      <c r="I10095"/>
    </row>
    <row r="10096" spans="2:9" ht="15" x14ac:dyDescent="0.25">
      <c r="B10096"/>
      <c r="C10096"/>
      <c r="D10096"/>
      <c r="E10096"/>
      <c r="F10096"/>
      <c r="G10096" s="20"/>
      <c r="H10096"/>
      <c r="I10096"/>
    </row>
    <row r="10097" spans="2:9" ht="15" x14ac:dyDescent="0.25">
      <c r="B10097"/>
      <c r="C10097"/>
      <c r="D10097"/>
      <c r="E10097"/>
      <c r="F10097"/>
      <c r="G10097" s="20"/>
      <c r="H10097"/>
      <c r="I10097"/>
    </row>
    <row r="10098" spans="2:9" ht="15" x14ac:dyDescent="0.25">
      <c r="B10098"/>
      <c r="C10098"/>
      <c r="D10098"/>
      <c r="E10098"/>
      <c r="F10098"/>
      <c r="G10098" s="20"/>
      <c r="H10098"/>
      <c r="I10098"/>
    </row>
    <row r="10099" spans="2:9" ht="15" x14ac:dyDescent="0.25">
      <c r="B10099"/>
      <c r="C10099"/>
      <c r="D10099"/>
      <c r="E10099"/>
      <c r="F10099"/>
      <c r="G10099" s="20"/>
      <c r="H10099"/>
      <c r="I10099"/>
    </row>
    <row r="10100" spans="2:9" ht="15" x14ac:dyDescent="0.25">
      <c r="B10100"/>
      <c r="C10100"/>
      <c r="D10100"/>
      <c r="E10100"/>
      <c r="F10100"/>
      <c r="G10100" s="20"/>
      <c r="H10100"/>
      <c r="I10100"/>
    </row>
    <row r="10101" spans="2:9" ht="15" x14ac:dyDescent="0.25">
      <c r="B10101"/>
      <c r="C10101"/>
      <c r="D10101"/>
      <c r="E10101"/>
      <c r="F10101"/>
      <c r="G10101" s="20"/>
      <c r="H10101"/>
      <c r="I10101"/>
    </row>
    <row r="10102" spans="2:9" ht="15" x14ac:dyDescent="0.25">
      <c r="B10102"/>
      <c r="C10102"/>
      <c r="D10102"/>
      <c r="E10102"/>
      <c r="F10102"/>
      <c r="G10102" s="20"/>
      <c r="H10102"/>
      <c r="I10102"/>
    </row>
    <row r="10103" spans="2:9" ht="15" x14ac:dyDescent="0.25">
      <c r="B10103"/>
      <c r="C10103"/>
      <c r="D10103"/>
      <c r="E10103"/>
      <c r="F10103"/>
      <c r="G10103" s="20"/>
      <c r="H10103"/>
      <c r="I10103"/>
    </row>
    <row r="10104" spans="2:9" ht="15" x14ac:dyDescent="0.25">
      <c r="B10104"/>
      <c r="C10104"/>
      <c r="D10104"/>
      <c r="E10104"/>
      <c r="F10104"/>
      <c r="G10104" s="20"/>
      <c r="H10104"/>
      <c r="I10104"/>
    </row>
    <row r="10105" spans="2:9" ht="15" x14ac:dyDescent="0.25">
      <c r="B10105"/>
      <c r="C10105"/>
      <c r="D10105"/>
      <c r="E10105"/>
      <c r="F10105"/>
      <c r="G10105" s="20"/>
      <c r="H10105"/>
      <c r="I10105"/>
    </row>
    <row r="10106" spans="2:9" ht="15" x14ac:dyDescent="0.25">
      <c r="B10106"/>
      <c r="C10106"/>
      <c r="D10106"/>
      <c r="E10106"/>
      <c r="F10106"/>
      <c r="G10106" s="20"/>
      <c r="H10106"/>
      <c r="I10106"/>
    </row>
    <row r="10107" spans="2:9" ht="15" x14ac:dyDescent="0.25">
      <c r="B10107"/>
      <c r="C10107"/>
      <c r="D10107"/>
      <c r="E10107"/>
      <c r="F10107"/>
      <c r="G10107" s="20"/>
      <c r="H10107"/>
      <c r="I10107"/>
    </row>
    <row r="10108" spans="2:9" ht="15" x14ac:dyDescent="0.25">
      <c r="B10108"/>
      <c r="C10108"/>
      <c r="D10108"/>
      <c r="E10108"/>
      <c r="F10108"/>
      <c r="G10108" s="20"/>
      <c r="H10108"/>
      <c r="I10108"/>
    </row>
    <row r="10109" spans="2:9" ht="15" x14ac:dyDescent="0.25">
      <c r="B10109"/>
      <c r="C10109"/>
      <c r="D10109"/>
      <c r="E10109"/>
      <c r="F10109"/>
      <c r="G10109" s="20"/>
      <c r="H10109"/>
      <c r="I10109"/>
    </row>
    <row r="10110" spans="2:9" ht="15" x14ac:dyDescent="0.25">
      <c r="B10110"/>
      <c r="C10110"/>
      <c r="D10110"/>
      <c r="E10110"/>
      <c r="F10110"/>
      <c r="G10110" s="20"/>
      <c r="H10110"/>
      <c r="I10110"/>
    </row>
    <row r="10111" spans="2:9" ht="15" x14ac:dyDescent="0.25">
      <c r="B10111"/>
      <c r="C10111"/>
      <c r="D10111"/>
      <c r="E10111"/>
      <c r="F10111"/>
      <c r="G10111" s="20"/>
      <c r="H10111"/>
      <c r="I10111"/>
    </row>
    <row r="10112" spans="2:9" ht="15" x14ac:dyDescent="0.25">
      <c r="B10112"/>
      <c r="C10112"/>
      <c r="D10112"/>
      <c r="E10112"/>
      <c r="F10112"/>
      <c r="G10112" s="20"/>
      <c r="H10112"/>
      <c r="I10112"/>
    </row>
    <row r="10113" spans="2:9" ht="15" x14ac:dyDescent="0.25">
      <c r="B10113"/>
      <c r="C10113"/>
      <c r="D10113"/>
      <c r="E10113"/>
      <c r="F10113"/>
      <c r="G10113" s="20"/>
      <c r="H10113"/>
      <c r="I10113"/>
    </row>
    <row r="10114" spans="2:9" ht="15" x14ac:dyDescent="0.25">
      <c r="B10114"/>
      <c r="C10114"/>
      <c r="D10114"/>
      <c r="E10114"/>
      <c r="F10114"/>
      <c r="G10114" s="20"/>
      <c r="H10114"/>
      <c r="I10114"/>
    </row>
    <row r="10115" spans="2:9" ht="15" x14ac:dyDescent="0.25">
      <c r="B10115"/>
      <c r="C10115"/>
      <c r="D10115"/>
      <c r="E10115"/>
      <c r="F10115"/>
      <c r="G10115" s="20"/>
      <c r="H10115"/>
      <c r="I10115"/>
    </row>
    <row r="10116" spans="2:9" ht="15" x14ac:dyDescent="0.25">
      <c r="B10116"/>
      <c r="C10116"/>
      <c r="D10116"/>
      <c r="E10116"/>
      <c r="F10116"/>
      <c r="G10116" s="20"/>
      <c r="H10116"/>
      <c r="I10116"/>
    </row>
    <row r="10117" spans="2:9" ht="15" x14ac:dyDescent="0.25">
      <c r="B10117"/>
      <c r="C10117"/>
      <c r="D10117"/>
      <c r="E10117"/>
      <c r="F10117"/>
      <c r="G10117" s="20"/>
      <c r="H10117"/>
      <c r="I10117"/>
    </row>
    <row r="10118" spans="2:9" ht="15" x14ac:dyDescent="0.25">
      <c r="B10118"/>
      <c r="C10118"/>
      <c r="D10118"/>
      <c r="E10118"/>
      <c r="F10118"/>
      <c r="G10118" s="20"/>
      <c r="H10118"/>
      <c r="I10118"/>
    </row>
    <row r="10119" spans="2:9" ht="15" x14ac:dyDescent="0.25">
      <c r="B10119"/>
      <c r="C10119"/>
      <c r="D10119"/>
      <c r="E10119"/>
      <c r="F10119"/>
      <c r="G10119" s="20"/>
      <c r="H10119"/>
      <c r="I10119"/>
    </row>
    <row r="10120" spans="2:9" ht="15" x14ac:dyDescent="0.25">
      <c r="B10120"/>
      <c r="C10120"/>
      <c r="D10120"/>
      <c r="E10120"/>
      <c r="F10120"/>
      <c r="G10120" s="20"/>
      <c r="H10120"/>
      <c r="I10120"/>
    </row>
    <row r="10121" spans="2:9" ht="15" x14ac:dyDescent="0.25">
      <c r="B10121"/>
      <c r="C10121"/>
      <c r="D10121"/>
      <c r="E10121"/>
      <c r="F10121"/>
      <c r="G10121" s="20"/>
      <c r="H10121"/>
      <c r="I10121"/>
    </row>
    <row r="10122" spans="2:9" ht="15" x14ac:dyDescent="0.25">
      <c r="B10122"/>
      <c r="C10122"/>
      <c r="D10122"/>
      <c r="E10122"/>
      <c r="F10122"/>
      <c r="G10122" s="20"/>
      <c r="H10122"/>
      <c r="I10122"/>
    </row>
    <row r="10123" spans="2:9" ht="15" x14ac:dyDescent="0.25">
      <c r="B10123"/>
      <c r="C10123"/>
      <c r="D10123"/>
      <c r="E10123"/>
      <c r="F10123"/>
      <c r="G10123" s="20"/>
      <c r="H10123"/>
      <c r="I10123"/>
    </row>
    <row r="10124" spans="2:9" ht="15" x14ac:dyDescent="0.25">
      <c r="B10124"/>
      <c r="C10124"/>
      <c r="D10124"/>
      <c r="E10124"/>
      <c r="F10124"/>
      <c r="G10124" s="20"/>
      <c r="H10124"/>
      <c r="I10124"/>
    </row>
    <row r="10125" spans="2:9" ht="15" x14ac:dyDescent="0.25">
      <c r="B10125"/>
      <c r="C10125"/>
      <c r="D10125"/>
      <c r="E10125"/>
      <c r="F10125"/>
      <c r="G10125" s="20"/>
      <c r="H10125"/>
      <c r="I10125"/>
    </row>
    <row r="10126" spans="2:9" ht="15" x14ac:dyDescent="0.25">
      <c r="B10126"/>
      <c r="C10126"/>
      <c r="D10126"/>
      <c r="E10126"/>
      <c r="F10126"/>
      <c r="G10126" s="20"/>
      <c r="H10126"/>
      <c r="I10126"/>
    </row>
    <row r="10127" spans="2:9" ht="15" x14ac:dyDescent="0.25">
      <c r="B10127"/>
      <c r="C10127"/>
      <c r="D10127"/>
      <c r="E10127"/>
      <c r="F10127"/>
      <c r="G10127" s="20"/>
      <c r="H10127"/>
      <c r="I10127"/>
    </row>
    <row r="10128" spans="2:9" ht="15" x14ac:dyDescent="0.25">
      <c r="B10128"/>
      <c r="C10128"/>
      <c r="D10128"/>
      <c r="E10128"/>
      <c r="F10128"/>
      <c r="G10128" s="20"/>
      <c r="H10128"/>
      <c r="I10128"/>
    </row>
    <row r="10129" spans="2:9" ht="15" x14ac:dyDescent="0.25">
      <c r="B10129"/>
      <c r="C10129"/>
      <c r="D10129"/>
      <c r="E10129"/>
      <c r="F10129"/>
      <c r="G10129" s="20"/>
      <c r="H10129"/>
      <c r="I10129"/>
    </row>
    <row r="10130" spans="2:9" ht="15" x14ac:dyDescent="0.25">
      <c r="B10130"/>
      <c r="C10130"/>
      <c r="D10130"/>
      <c r="E10130"/>
      <c r="F10130"/>
      <c r="G10130" s="20"/>
      <c r="H10130"/>
      <c r="I10130"/>
    </row>
    <row r="10131" spans="2:9" ht="15" x14ac:dyDescent="0.25">
      <c r="B10131"/>
      <c r="C10131"/>
      <c r="D10131"/>
      <c r="E10131"/>
      <c r="F10131"/>
      <c r="G10131" s="20"/>
      <c r="H10131"/>
      <c r="I10131"/>
    </row>
    <row r="10132" spans="2:9" ht="15" x14ac:dyDescent="0.25">
      <c r="B10132"/>
      <c r="C10132"/>
      <c r="D10132"/>
      <c r="E10132"/>
      <c r="F10132"/>
      <c r="G10132" s="20"/>
      <c r="H10132"/>
      <c r="I10132"/>
    </row>
    <row r="10133" spans="2:9" ht="15" x14ac:dyDescent="0.25">
      <c r="B10133"/>
      <c r="C10133"/>
      <c r="D10133"/>
      <c r="E10133"/>
      <c r="F10133"/>
      <c r="G10133" s="20"/>
      <c r="H10133"/>
      <c r="I10133"/>
    </row>
    <row r="10134" spans="2:9" ht="15" x14ac:dyDescent="0.25">
      <c r="B10134"/>
      <c r="C10134"/>
      <c r="D10134"/>
      <c r="E10134"/>
      <c r="F10134"/>
      <c r="G10134" s="20"/>
      <c r="H10134"/>
      <c r="I10134"/>
    </row>
    <row r="10135" spans="2:9" ht="15" x14ac:dyDescent="0.25">
      <c r="B10135"/>
      <c r="C10135"/>
      <c r="D10135"/>
      <c r="E10135"/>
      <c r="F10135"/>
      <c r="G10135" s="20"/>
      <c r="H10135"/>
      <c r="I10135"/>
    </row>
    <row r="10136" spans="2:9" ht="15" x14ac:dyDescent="0.25">
      <c r="B10136"/>
      <c r="C10136"/>
      <c r="D10136"/>
      <c r="E10136"/>
      <c r="F10136"/>
      <c r="G10136" s="20"/>
      <c r="H10136"/>
      <c r="I10136"/>
    </row>
    <row r="10137" spans="2:9" ht="15" x14ac:dyDescent="0.25">
      <c r="B10137"/>
      <c r="C10137"/>
      <c r="D10137"/>
      <c r="E10137"/>
      <c r="F10137"/>
      <c r="G10137" s="20"/>
      <c r="H10137"/>
      <c r="I10137"/>
    </row>
    <row r="10138" spans="2:9" ht="15" x14ac:dyDescent="0.25">
      <c r="B10138"/>
      <c r="C10138"/>
      <c r="D10138"/>
      <c r="E10138"/>
      <c r="F10138"/>
      <c r="G10138" s="20"/>
      <c r="H10138"/>
      <c r="I10138"/>
    </row>
    <row r="10139" spans="2:9" ht="15" x14ac:dyDescent="0.25">
      <c r="B10139"/>
      <c r="C10139"/>
      <c r="D10139"/>
      <c r="E10139"/>
      <c r="F10139"/>
      <c r="G10139" s="20"/>
      <c r="H10139"/>
      <c r="I10139"/>
    </row>
    <row r="10140" spans="2:9" ht="15" x14ac:dyDescent="0.25">
      <c r="B10140"/>
      <c r="C10140"/>
      <c r="D10140"/>
      <c r="E10140"/>
      <c r="F10140"/>
      <c r="G10140" s="20"/>
      <c r="H10140"/>
      <c r="I10140"/>
    </row>
    <row r="10141" spans="2:9" ht="15" x14ac:dyDescent="0.25">
      <c r="B10141"/>
      <c r="C10141"/>
      <c r="D10141"/>
      <c r="E10141"/>
      <c r="F10141"/>
      <c r="G10141" s="20"/>
      <c r="H10141"/>
      <c r="I10141"/>
    </row>
    <row r="10142" spans="2:9" ht="15" x14ac:dyDescent="0.25">
      <c r="B10142"/>
      <c r="C10142"/>
      <c r="D10142"/>
      <c r="E10142"/>
      <c r="F10142"/>
      <c r="G10142" s="20"/>
      <c r="H10142"/>
      <c r="I10142"/>
    </row>
    <row r="10143" spans="2:9" ht="15" x14ac:dyDescent="0.25">
      <c r="B10143"/>
      <c r="C10143"/>
      <c r="D10143"/>
      <c r="E10143"/>
      <c r="F10143"/>
      <c r="G10143" s="20"/>
      <c r="H10143"/>
      <c r="I10143"/>
    </row>
    <row r="10144" spans="2:9" ht="15" x14ac:dyDescent="0.25">
      <c r="B10144"/>
      <c r="C10144"/>
      <c r="D10144"/>
      <c r="E10144"/>
      <c r="F10144"/>
      <c r="G10144" s="20"/>
      <c r="H10144"/>
      <c r="I10144"/>
    </row>
    <row r="10145" spans="2:9" ht="15" x14ac:dyDescent="0.25">
      <c r="B10145"/>
      <c r="C10145"/>
      <c r="D10145"/>
      <c r="E10145"/>
      <c r="F10145"/>
      <c r="G10145" s="20"/>
      <c r="H10145"/>
      <c r="I10145"/>
    </row>
    <row r="10146" spans="2:9" ht="15" x14ac:dyDescent="0.25">
      <c r="B10146"/>
      <c r="C10146"/>
      <c r="D10146"/>
      <c r="E10146"/>
      <c r="F10146"/>
      <c r="G10146" s="20"/>
      <c r="H10146"/>
      <c r="I10146"/>
    </row>
    <row r="10147" spans="2:9" ht="15" x14ac:dyDescent="0.25">
      <c r="B10147"/>
      <c r="C10147"/>
      <c r="D10147"/>
      <c r="E10147"/>
      <c r="F10147"/>
      <c r="G10147" s="20"/>
      <c r="H10147"/>
      <c r="I10147"/>
    </row>
    <row r="10148" spans="2:9" ht="15" x14ac:dyDescent="0.25">
      <c r="B10148"/>
      <c r="C10148"/>
      <c r="D10148"/>
      <c r="E10148"/>
      <c r="F10148"/>
      <c r="G10148" s="20"/>
      <c r="H10148"/>
      <c r="I10148"/>
    </row>
    <row r="10149" spans="2:9" ht="15" x14ac:dyDescent="0.25">
      <c r="B10149"/>
      <c r="C10149"/>
      <c r="D10149"/>
      <c r="E10149"/>
      <c r="F10149"/>
      <c r="G10149" s="20"/>
      <c r="H10149"/>
      <c r="I10149"/>
    </row>
    <row r="10150" spans="2:9" ht="15" x14ac:dyDescent="0.25">
      <c r="B10150"/>
      <c r="C10150"/>
      <c r="D10150"/>
      <c r="E10150"/>
      <c r="F10150"/>
      <c r="G10150" s="20"/>
      <c r="H10150"/>
      <c r="I10150"/>
    </row>
    <row r="10151" spans="2:9" ht="15" x14ac:dyDescent="0.25">
      <c r="B10151"/>
      <c r="C10151"/>
      <c r="D10151"/>
      <c r="E10151"/>
      <c r="F10151"/>
      <c r="G10151" s="20"/>
      <c r="H10151"/>
      <c r="I10151"/>
    </row>
    <row r="10152" spans="2:9" ht="15" x14ac:dyDescent="0.25">
      <c r="B10152"/>
      <c r="C10152"/>
      <c r="D10152"/>
      <c r="E10152"/>
      <c r="F10152"/>
      <c r="G10152" s="20"/>
      <c r="H10152"/>
      <c r="I10152"/>
    </row>
    <row r="10153" spans="2:9" ht="15" x14ac:dyDescent="0.25">
      <c r="B10153"/>
      <c r="C10153"/>
      <c r="D10153"/>
      <c r="E10153"/>
      <c r="F10153"/>
      <c r="G10153" s="20"/>
      <c r="H10153"/>
      <c r="I10153"/>
    </row>
    <row r="10154" spans="2:9" ht="15" x14ac:dyDescent="0.25">
      <c r="B10154"/>
      <c r="C10154"/>
      <c r="D10154"/>
      <c r="E10154"/>
      <c r="F10154"/>
      <c r="G10154" s="20"/>
      <c r="H10154"/>
      <c r="I10154"/>
    </row>
    <row r="10155" spans="2:9" ht="15" x14ac:dyDescent="0.25">
      <c r="B10155"/>
      <c r="C10155"/>
      <c r="D10155"/>
      <c r="E10155"/>
      <c r="F10155"/>
      <c r="G10155" s="20"/>
      <c r="H10155"/>
      <c r="I10155"/>
    </row>
    <row r="10156" spans="2:9" ht="15" x14ac:dyDescent="0.25">
      <c r="B10156"/>
      <c r="C10156"/>
      <c r="D10156"/>
      <c r="E10156"/>
      <c r="F10156"/>
      <c r="G10156" s="20"/>
      <c r="H10156"/>
      <c r="I10156"/>
    </row>
    <row r="10157" spans="2:9" ht="15" x14ac:dyDescent="0.25">
      <c r="B10157"/>
      <c r="C10157"/>
      <c r="D10157"/>
      <c r="E10157"/>
      <c r="F10157"/>
      <c r="G10157" s="20"/>
      <c r="H10157"/>
      <c r="I10157"/>
    </row>
    <row r="10158" spans="2:9" ht="15" x14ac:dyDescent="0.25">
      <c r="B10158"/>
      <c r="C10158"/>
      <c r="D10158"/>
      <c r="E10158"/>
      <c r="F10158"/>
      <c r="G10158" s="20"/>
      <c r="H10158"/>
      <c r="I10158"/>
    </row>
    <row r="10159" spans="2:9" ht="15" x14ac:dyDescent="0.25">
      <c r="B10159"/>
      <c r="C10159"/>
      <c r="D10159"/>
      <c r="E10159"/>
      <c r="F10159"/>
      <c r="G10159" s="20"/>
      <c r="H10159"/>
      <c r="I10159"/>
    </row>
    <row r="10160" spans="2:9" ht="15" x14ac:dyDescent="0.25">
      <c r="B10160"/>
      <c r="C10160"/>
      <c r="D10160"/>
      <c r="E10160"/>
      <c r="F10160"/>
      <c r="G10160" s="20"/>
      <c r="H10160"/>
      <c r="I10160"/>
    </row>
    <row r="10161" spans="2:9" ht="15" x14ac:dyDescent="0.25">
      <c r="B10161"/>
      <c r="C10161"/>
      <c r="D10161"/>
      <c r="E10161"/>
      <c r="F10161"/>
      <c r="G10161" s="20"/>
      <c r="H10161"/>
      <c r="I10161"/>
    </row>
    <row r="10162" spans="2:9" ht="15" x14ac:dyDescent="0.25">
      <c r="B10162"/>
      <c r="C10162"/>
      <c r="D10162"/>
      <c r="E10162"/>
      <c r="F10162"/>
      <c r="G10162" s="20"/>
      <c r="H10162"/>
      <c r="I10162"/>
    </row>
    <row r="10163" spans="2:9" ht="15" x14ac:dyDescent="0.25">
      <c r="B10163"/>
      <c r="C10163"/>
      <c r="D10163"/>
      <c r="E10163"/>
      <c r="F10163"/>
      <c r="G10163" s="20"/>
      <c r="H10163"/>
      <c r="I10163"/>
    </row>
    <row r="10164" spans="2:9" ht="15" x14ac:dyDescent="0.25">
      <c r="B10164"/>
      <c r="C10164"/>
      <c r="D10164"/>
      <c r="E10164"/>
      <c r="F10164"/>
      <c r="G10164" s="20"/>
      <c r="H10164"/>
      <c r="I10164"/>
    </row>
    <row r="10165" spans="2:9" ht="15" x14ac:dyDescent="0.25">
      <c r="B10165"/>
      <c r="C10165"/>
      <c r="D10165"/>
      <c r="E10165"/>
      <c r="F10165"/>
      <c r="G10165" s="20"/>
      <c r="H10165"/>
      <c r="I10165"/>
    </row>
    <row r="10166" spans="2:9" ht="15" x14ac:dyDescent="0.25">
      <c r="B10166"/>
      <c r="C10166"/>
      <c r="D10166"/>
      <c r="E10166"/>
      <c r="F10166"/>
      <c r="G10166" s="20"/>
      <c r="H10166"/>
      <c r="I10166"/>
    </row>
    <row r="10167" spans="2:9" ht="15" x14ac:dyDescent="0.25">
      <c r="B10167"/>
      <c r="C10167"/>
      <c r="D10167"/>
      <c r="E10167"/>
      <c r="F10167"/>
      <c r="G10167" s="20"/>
      <c r="H10167"/>
      <c r="I10167"/>
    </row>
    <row r="10168" spans="2:9" ht="15" x14ac:dyDescent="0.25">
      <c r="B10168"/>
      <c r="C10168"/>
      <c r="D10168"/>
      <c r="E10168"/>
      <c r="F10168"/>
      <c r="G10168" s="20"/>
      <c r="H10168"/>
      <c r="I10168"/>
    </row>
    <row r="10169" spans="2:9" ht="15" x14ac:dyDescent="0.25">
      <c r="B10169"/>
      <c r="C10169"/>
      <c r="D10169"/>
      <c r="E10169"/>
      <c r="F10169"/>
      <c r="G10169" s="20"/>
      <c r="H10169"/>
      <c r="I10169"/>
    </row>
    <row r="10170" spans="2:9" ht="15" x14ac:dyDescent="0.25">
      <c r="B10170"/>
      <c r="C10170"/>
      <c r="D10170"/>
      <c r="E10170"/>
      <c r="F10170"/>
      <c r="G10170" s="20"/>
      <c r="H10170"/>
      <c r="I10170"/>
    </row>
    <row r="10171" spans="2:9" ht="15" x14ac:dyDescent="0.25">
      <c r="B10171"/>
      <c r="C10171"/>
      <c r="D10171"/>
      <c r="E10171"/>
      <c r="F10171"/>
      <c r="G10171" s="20"/>
      <c r="H10171"/>
      <c r="I10171"/>
    </row>
    <row r="10172" spans="2:9" ht="15" x14ac:dyDescent="0.25">
      <c r="B10172"/>
      <c r="C10172"/>
      <c r="D10172"/>
      <c r="E10172"/>
      <c r="F10172"/>
      <c r="G10172" s="20"/>
      <c r="H10172"/>
      <c r="I10172"/>
    </row>
    <row r="10173" spans="2:9" ht="15" x14ac:dyDescent="0.25">
      <c r="B10173"/>
      <c r="C10173"/>
      <c r="D10173"/>
      <c r="E10173"/>
      <c r="F10173"/>
      <c r="G10173" s="20"/>
      <c r="H10173"/>
      <c r="I10173"/>
    </row>
    <row r="10174" spans="2:9" ht="15" x14ac:dyDescent="0.25">
      <c r="B10174"/>
      <c r="C10174"/>
      <c r="D10174"/>
      <c r="E10174"/>
      <c r="F10174"/>
      <c r="G10174" s="20"/>
      <c r="H10174"/>
      <c r="I10174"/>
    </row>
    <row r="10175" spans="2:9" ht="15" x14ac:dyDescent="0.25">
      <c r="B10175"/>
      <c r="C10175"/>
      <c r="D10175"/>
      <c r="E10175"/>
      <c r="F10175"/>
      <c r="G10175" s="20"/>
      <c r="H10175"/>
      <c r="I10175"/>
    </row>
    <row r="10176" spans="2:9" ht="15" x14ac:dyDescent="0.25">
      <c r="B10176"/>
      <c r="C10176"/>
      <c r="D10176"/>
      <c r="E10176"/>
      <c r="F10176"/>
      <c r="G10176" s="20"/>
      <c r="H10176"/>
      <c r="I10176"/>
    </row>
    <row r="10177" spans="2:9" ht="15" x14ac:dyDescent="0.25">
      <c r="B10177"/>
      <c r="C10177"/>
      <c r="D10177"/>
      <c r="E10177"/>
      <c r="F10177"/>
      <c r="G10177" s="20"/>
      <c r="H10177"/>
      <c r="I10177"/>
    </row>
    <row r="10178" spans="2:9" ht="15" x14ac:dyDescent="0.25">
      <c r="B10178"/>
      <c r="C10178"/>
      <c r="D10178"/>
      <c r="E10178"/>
      <c r="F10178"/>
      <c r="G10178" s="20"/>
      <c r="H10178"/>
      <c r="I10178"/>
    </row>
    <row r="10179" spans="2:9" ht="15" x14ac:dyDescent="0.25">
      <c r="B10179"/>
      <c r="C10179"/>
      <c r="D10179"/>
      <c r="E10179"/>
      <c r="F10179"/>
      <c r="G10179" s="20"/>
      <c r="H10179"/>
      <c r="I10179"/>
    </row>
    <row r="10180" spans="2:9" ht="15" x14ac:dyDescent="0.25">
      <c r="B10180"/>
      <c r="C10180"/>
      <c r="D10180"/>
      <c r="E10180"/>
      <c r="F10180"/>
      <c r="G10180" s="20"/>
      <c r="H10180"/>
      <c r="I10180"/>
    </row>
    <row r="10181" spans="2:9" ht="15" x14ac:dyDescent="0.25">
      <c r="B10181"/>
      <c r="C10181"/>
      <c r="D10181"/>
      <c r="E10181"/>
      <c r="F10181"/>
      <c r="G10181" s="20"/>
      <c r="H10181"/>
      <c r="I10181"/>
    </row>
    <row r="10182" spans="2:9" ht="15" x14ac:dyDescent="0.25">
      <c r="B10182"/>
      <c r="C10182"/>
      <c r="D10182"/>
      <c r="E10182"/>
      <c r="F10182"/>
      <c r="G10182" s="20"/>
      <c r="H10182"/>
      <c r="I10182"/>
    </row>
    <row r="10183" spans="2:9" ht="15" x14ac:dyDescent="0.25">
      <c r="B10183"/>
      <c r="C10183"/>
      <c r="D10183"/>
      <c r="E10183"/>
      <c r="F10183"/>
      <c r="G10183" s="20"/>
      <c r="H10183"/>
      <c r="I10183"/>
    </row>
    <row r="10184" spans="2:9" ht="15" x14ac:dyDescent="0.25">
      <c r="B10184"/>
      <c r="C10184"/>
      <c r="D10184"/>
      <c r="E10184"/>
      <c r="F10184"/>
      <c r="G10184" s="20"/>
      <c r="H10184"/>
      <c r="I10184"/>
    </row>
    <row r="10185" spans="2:9" ht="15" x14ac:dyDescent="0.25">
      <c r="B10185"/>
      <c r="C10185"/>
      <c r="D10185"/>
      <c r="E10185"/>
      <c r="F10185"/>
      <c r="G10185" s="20"/>
      <c r="H10185"/>
      <c r="I10185"/>
    </row>
    <row r="10186" spans="2:9" ht="15" x14ac:dyDescent="0.25">
      <c r="B10186"/>
      <c r="C10186"/>
      <c r="D10186"/>
      <c r="E10186"/>
      <c r="F10186"/>
      <c r="G10186" s="20"/>
      <c r="H10186"/>
      <c r="I10186"/>
    </row>
    <row r="10187" spans="2:9" ht="15" x14ac:dyDescent="0.25">
      <c r="B10187"/>
      <c r="C10187"/>
      <c r="D10187"/>
      <c r="E10187"/>
      <c r="F10187"/>
      <c r="G10187" s="20"/>
      <c r="H10187"/>
      <c r="I10187"/>
    </row>
    <row r="10188" spans="2:9" ht="15" x14ac:dyDescent="0.25">
      <c r="B10188"/>
      <c r="C10188"/>
      <c r="D10188"/>
      <c r="E10188"/>
      <c r="F10188"/>
      <c r="G10188" s="20"/>
      <c r="H10188"/>
      <c r="I10188"/>
    </row>
    <row r="10189" spans="2:9" ht="15" x14ac:dyDescent="0.25">
      <c r="B10189"/>
      <c r="C10189"/>
      <c r="D10189"/>
      <c r="E10189"/>
      <c r="F10189"/>
      <c r="G10189" s="20"/>
      <c r="H10189"/>
      <c r="I10189"/>
    </row>
    <row r="10190" spans="2:9" ht="15" x14ac:dyDescent="0.25">
      <c r="B10190"/>
      <c r="C10190"/>
      <c r="D10190"/>
      <c r="E10190"/>
      <c r="F10190"/>
      <c r="G10190" s="20"/>
      <c r="H10190"/>
      <c r="I10190"/>
    </row>
    <row r="10191" spans="2:9" ht="15" x14ac:dyDescent="0.25">
      <c r="B10191"/>
      <c r="C10191"/>
      <c r="D10191"/>
      <c r="E10191"/>
      <c r="F10191"/>
      <c r="G10191" s="20"/>
      <c r="H10191"/>
      <c r="I10191"/>
    </row>
    <row r="10192" spans="2:9" ht="15" x14ac:dyDescent="0.25">
      <c r="B10192"/>
      <c r="C10192"/>
      <c r="D10192"/>
      <c r="E10192"/>
      <c r="F10192"/>
      <c r="G10192" s="20"/>
      <c r="H10192"/>
      <c r="I10192"/>
    </row>
    <row r="10193" spans="2:9" ht="15" x14ac:dyDescent="0.25">
      <c r="B10193"/>
      <c r="C10193"/>
      <c r="D10193"/>
      <c r="E10193"/>
      <c r="F10193"/>
      <c r="G10193" s="20"/>
      <c r="H10193"/>
      <c r="I10193"/>
    </row>
    <row r="10194" spans="2:9" ht="15" x14ac:dyDescent="0.25">
      <c r="B10194"/>
      <c r="C10194"/>
      <c r="D10194"/>
      <c r="E10194"/>
      <c r="F10194"/>
      <c r="G10194" s="20"/>
      <c r="H10194"/>
      <c r="I10194"/>
    </row>
    <row r="10195" spans="2:9" ht="15" x14ac:dyDescent="0.25">
      <c r="B10195"/>
      <c r="C10195"/>
      <c r="D10195"/>
      <c r="E10195"/>
      <c r="F10195"/>
      <c r="G10195" s="20"/>
      <c r="H10195"/>
      <c r="I10195"/>
    </row>
    <row r="10196" spans="2:9" ht="15" x14ac:dyDescent="0.25">
      <c r="B10196"/>
      <c r="C10196"/>
      <c r="D10196"/>
      <c r="E10196"/>
      <c r="F10196"/>
      <c r="G10196" s="20"/>
      <c r="H10196"/>
      <c r="I10196"/>
    </row>
    <row r="10197" spans="2:9" ht="15" x14ac:dyDescent="0.25">
      <c r="B10197"/>
      <c r="C10197"/>
      <c r="D10197"/>
      <c r="E10197"/>
      <c r="F10197"/>
      <c r="G10197" s="20"/>
      <c r="H10197"/>
      <c r="I10197"/>
    </row>
    <row r="10198" spans="2:9" ht="15" x14ac:dyDescent="0.25">
      <c r="B10198"/>
      <c r="C10198"/>
      <c r="D10198"/>
      <c r="E10198"/>
      <c r="F10198"/>
      <c r="G10198" s="20"/>
      <c r="H10198"/>
      <c r="I10198"/>
    </row>
    <row r="10199" spans="2:9" ht="15" x14ac:dyDescent="0.25">
      <c r="B10199"/>
      <c r="C10199"/>
      <c r="D10199"/>
      <c r="E10199"/>
      <c r="F10199"/>
      <c r="G10199" s="20"/>
      <c r="H10199"/>
      <c r="I10199"/>
    </row>
    <row r="10200" spans="2:9" ht="15" x14ac:dyDescent="0.25">
      <c r="B10200"/>
      <c r="C10200"/>
      <c r="D10200"/>
      <c r="E10200"/>
      <c r="F10200"/>
      <c r="G10200" s="20"/>
      <c r="H10200"/>
      <c r="I10200"/>
    </row>
    <row r="10201" spans="2:9" ht="15" x14ac:dyDescent="0.25">
      <c r="B10201"/>
      <c r="C10201"/>
      <c r="D10201"/>
      <c r="E10201"/>
      <c r="F10201"/>
      <c r="G10201" s="20"/>
      <c r="H10201"/>
      <c r="I10201"/>
    </row>
    <row r="10202" spans="2:9" ht="15" x14ac:dyDescent="0.25">
      <c r="B10202"/>
      <c r="C10202"/>
      <c r="D10202"/>
      <c r="E10202"/>
      <c r="F10202"/>
      <c r="G10202" s="20"/>
      <c r="H10202"/>
      <c r="I10202"/>
    </row>
    <row r="10203" spans="2:9" ht="15" x14ac:dyDescent="0.25">
      <c r="B10203"/>
      <c r="C10203"/>
      <c r="D10203"/>
      <c r="E10203"/>
      <c r="F10203"/>
      <c r="G10203" s="20"/>
      <c r="H10203"/>
      <c r="I10203"/>
    </row>
    <row r="10204" spans="2:9" ht="15" x14ac:dyDescent="0.25">
      <c r="B10204"/>
      <c r="C10204"/>
      <c r="D10204"/>
      <c r="E10204"/>
      <c r="F10204"/>
      <c r="G10204" s="20"/>
      <c r="H10204"/>
      <c r="I10204"/>
    </row>
    <row r="10205" spans="2:9" ht="15" x14ac:dyDescent="0.25">
      <c r="B10205"/>
      <c r="C10205"/>
      <c r="D10205"/>
      <c r="E10205"/>
      <c r="F10205"/>
      <c r="G10205" s="20"/>
      <c r="H10205"/>
      <c r="I10205"/>
    </row>
    <row r="10206" spans="2:9" ht="15" x14ac:dyDescent="0.25">
      <c r="B10206"/>
      <c r="C10206"/>
      <c r="D10206"/>
      <c r="E10206"/>
      <c r="F10206"/>
      <c r="G10206" s="20"/>
      <c r="H10206"/>
      <c r="I10206"/>
    </row>
    <row r="10207" spans="2:9" ht="15" x14ac:dyDescent="0.25">
      <c r="B10207"/>
      <c r="C10207"/>
      <c r="D10207"/>
      <c r="E10207"/>
      <c r="F10207"/>
      <c r="G10207" s="20"/>
      <c r="H10207"/>
      <c r="I10207"/>
    </row>
    <row r="10208" spans="2:9" ht="15" x14ac:dyDescent="0.25">
      <c r="B10208"/>
      <c r="C10208"/>
      <c r="D10208"/>
      <c r="E10208"/>
      <c r="F10208"/>
      <c r="G10208" s="20"/>
      <c r="H10208"/>
      <c r="I10208"/>
    </row>
    <row r="10209" spans="2:9" ht="15" x14ac:dyDescent="0.25">
      <c r="B10209"/>
      <c r="C10209"/>
      <c r="D10209"/>
      <c r="E10209"/>
      <c r="F10209"/>
      <c r="G10209" s="20"/>
      <c r="H10209"/>
      <c r="I10209"/>
    </row>
    <row r="10210" spans="2:9" ht="15" x14ac:dyDescent="0.25">
      <c r="B10210"/>
      <c r="C10210"/>
      <c r="D10210"/>
      <c r="E10210"/>
      <c r="F10210"/>
      <c r="G10210" s="20"/>
      <c r="H10210"/>
      <c r="I10210"/>
    </row>
    <row r="10211" spans="2:9" ht="15" x14ac:dyDescent="0.25">
      <c r="B10211"/>
      <c r="C10211"/>
      <c r="D10211"/>
      <c r="E10211"/>
      <c r="F10211"/>
      <c r="G10211" s="20"/>
      <c r="H10211"/>
      <c r="I10211"/>
    </row>
    <row r="10212" spans="2:9" ht="15" x14ac:dyDescent="0.25">
      <c r="B10212"/>
      <c r="C10212"/>
      <c r="D10212"/>
      <c r="E10212"/>
      <c r="F10212"/>
      <c r="G10212" s="20"/>
      <c r="H10212"/>
      <c r="I10212"/>
    </row>
    <row r="10213" spans="2:9" ht="15" x14ac:dyDescent="0.25">
      <c r="B10213"/>
      <c r="C10213"/>
      <c r="D10213"/>
      <c r="E10213"/>
      <c r="F10213"/>
      <c r="G10213" s="20"/>
      <c r="H10213"/>
      <c r="I10213"/>
    </row>
    <row r="10214" spans="2:9" ht="15" x14ac:dyDescent="0.25">
      <c r="B10214"/>
      <c r="C10214"/>
      <c r="D10214"/>
      <c r="E10214"/>
      <c r="F10214"/>
      <c r="G10214" s="20"/>
      <c r="H10214"/>
      <c r="I10214"/>
    </row>
    <row r="10215" spans="2:9" ht="15" x14ac:dyDescent="0.25">
      <c r="B10215"/>
      <c r="C10215"/>
      <c r="D10215"/>
      <c r="E10215"/>
      <c r="F10215"/>
      <c r="G10215" s="20"/>
      <c r="H10215"/>
      <c r="I10215"/>
    </row>
    <row r="10216" spans="2:9" ht="15" x14ac:dyDescent="0.25">
      <c r="B10216"/>
      <c r="C10216"/>
      <c r="D10216"/>
      <c r="E10216"/>
      <c r="F10216"/>
      <c r="G10216" s="20"/>
      <c r="H10216"/>
      <c r="I10216"/>
    </row>
    <row r="10217" spans="2:9" ht="15" x14ac:dyDescent="0.25">
      <c r="B10217"/>
      <c r="C10217"/>
      <c r="D10217"/>
      <c r="E10217"/>
      <c r="F10217"/>
      <c r="G10217" s="20"/>
      <c r="H10217"/>
      <c r="I10217"/>
    </row>
    <row r="10218" spans="2:9" ht="15" x14ac:dyDescent="0.25">
      <c r="B10218"/>
      <c r="C10218"/>
      <c r="D10218"/>
      <c r="E10218"/>
      <c r="F10218"/>
      <c r="G10218" s="20"/>
      <c r="H10218"/>
      <c r="I10218"/>
    </row>
    <row r="10219" spans="2:9" ht="15" x14ac:dyDescent="0.25">
      <c r="B10219"/>
      <c r="C10219"/>
      <c r="D10219"/>
      <c r="E10219"/>
      <c r="F10219"/>
      <c r="G10219" s="20"/>
      <c r="H10219"/>
      <c r="I10219"/>
    </row>
    <row r="10220" spans="2:9" ht="15" x14ac:dyDescent="0.25">
      <c r="B10220"/>
      <c r="C10220"/>
      <c r="D10220"/>
      <c r="E10220"/>
      <c r="F10220"/>
      <c r="G10220" s="20"/>
      <c r="H10220"/>
      <c r="I10220"/>
    </row>
    <row r="10221" spans="2:9" ht="15" x14ac:dyDescent="0.25">
      <c r="B10221"/>
      <c r="C10221"/>
      <c r="D10221"/>
      <c r="E10221"/>
      <c r="F10221"/>
      <c r="G10221" s="20"/>
      <c r="H10221"/>
      <c r="I10221"/>
    </row>
    <row r="10222" spans="2:9" ht="15" x14ac:dyDescent="0.25">
      <c r="B10222"/>
      <c r="C10222"/>
      <c r="D10222"/>
      <c r="E10222"/>
      <c r="F10222"/>
      <c r="G10222" s="20"/>
      <c r="H10222"/>
      <c r="I10222"/>
    </row>
    <row r="10223" spans="2:9" ht="15" x14ac:dyDescent="0.25">
      <c r="B10223"/>
      <c r="C10223"/>
      <c r="D10223"/>
      <c r="E10223"/>
      <c r="F10223"/>
      <c r="G10223" s="20"/>
      <c r="H10223"/>
      <c r="I10223"/>
    </row>
    <row r="10224" spans="2:9" ht="15" x14ac:dyDescent="0.25">
      <c r="B10224"/>
      <c r="C10224"/>
      <c r="D10224"/>
      <c r="E10224"/>
      <c r="F10224"/>
      <c r="G10224" s="20"/>
      <c r="H10224"/>
      <c r="I10224"/>
    </row>
    <row r="10225" spans="2:9" ht="15" x14ac:dyDescent="0.25">
      <c r="B10225"/>
      <c r="C10225"/>
      <c r="D10225"/>
      <c r="E10225"/>
      <c r="F10225"/>
      <c r="G10225" s="20"/>
      <c r="H10225"/>
      <c r="I10225"/>
    </row>
    <row r="10226" spans="2:9" ht="15" x14ac:dyDescent="0.25">
      <c r="B10226"/>
      <c r="C10226"/>
      <c r="D10226"/>
      <c r="E10226"/>
      <c r="F10226"/>
      <c r="G10226" s="20"/>
      <c r="H10226"/>
      <c r="I10226"/>
    </row>
    <row r="10227" spans="2:9" ht="15" x14ac:dyDescent="0.25">
      <c r="B10227"/>
      <c r="C10227"/>
      <c r="D10227"/>
      <c r="E10227"/>
      <c r="F10227"/>
      <c r="G10227" s="20"/>
      <c r="H10227"/>
      <c r="I10227"/>
    </row>
    <row r="10228" spans="2:9" ht="15" x14ac:dyDescent="0.25">
      <c r="B10228"/>
      <c r="C10228"/>
      <c r="D10228"/>
      <c r="E10228"/>
      <c r="F10228"/>
      <c r="G10228" s="20"/>
      <c r="H10228"/>
      <c r="I10228"/>
    </row>
    <row r="10229" spans="2:9" ht="15" x14ac:dyDescent="0.25">
      <c r="B10229"/>
      <c r="C10229"/>
      <c r="D10229"/>
      <c r="E10229"/>
      <c r="F10229"/>
      <c r="G10229" s="20"/>
      <c r="H10229"/>
      <c r="I10229"/>
    </row>
    <row r="10230" spans="2:9" ht="15" x14ac:dyDescent="0.25">
      <c r="B10230"/>
      <c r="C10230"/>
      <c r="D10230"/>
      <c r="E10230"/>
      <c r="F10230"/>
      <c r="G10230" s="20"/>
      <c r="H10230"/>
      <c r="I10230"/>
    </row>
    <row r="10231" spans="2:9" ht="15" x14ac:dyDescent="0.25">
      <c r="B10231"/>
      <c r="C10231"/>
      <c r="D10231"/>
      <c r="E10231"/>
      <c r="F10231"/>
      <c r="G10231" s="20"/>
      <c r="H10231"/>
      <c r="I10231"/>
    </row>
    <row r="10232" spans="2:9" ht="15" x14ac:dyDescent="0.25">
      <c r="B10232"/>
      <c r="C10232"/>
      <c r="D10232"/>
      <c r="E10232"/>
      <c r="F10232"/>
      <c r="G10232" s="20"/>
      <c r="H10232"/>
      <c r="I10232"/>
    </row>
    <row r="10233" spans="2:9" ht="15" x14ac:dyDescent="0.25">
      <c r="B10233"/>
      <c r="C10233"/>
      <c r="D10233"/>
      <c r="E10233"/>
      <c r="F10233"/>
      <c r="G10233" s="20"/>
      <c r="H10233"/>
      <c r="I10233"/>
    </row>
    <row r="10234" spans="2:9" ht="15" x14ac:dyDescent="0.25">
      <c r="B10234"/>
      <c r="C10234"/>
      <c r="D10234"/>
      <c r="E10234"/>
      <c r="F10234"/>
      <c r="G10234" s="20"/>
      <c r="H10234"/>
      <c r="I10234"/>
    </row>
    <row r="10235" spans="2:9" ht="15" x14ac:dyDescent="0.25">
      <c r="B10235"/>
      <c r="C10235"/>
      <c r="D10235"/>
      <c r="E10235"/>
      <c r="F10235"/>
      <c r="G10235" s="20"/>
      <c r="H10235"/>
      <c r="I10235"/>
    </row>
    <row r="10236" spans="2:9" ht="15" x14ac:dyDescent="0.25">
      <c r="B10236"/>
      <c r="C10236"/>
      <c r="D10236"/>
      <c r="E10236"/>
      <c r="F10236"/>
      <c r="G10236" s="20"/>
      <c r="H10236"/>
      <c r="I10236"/>
    </row>
    <row r="10237" spans="2:9" ht="15" x14ac:dyDescent="0.25">
      <c r="B10237"/>
      <c r="C10237"/>
      <c r="D10237"/>
      <c r="E10237"/>
      <c r="F10237"/>
      <c r="G10237" s="20"/>
      <c r="H10237"/>
      <c r="I10237"/>
    </row>
    <row r="10238" spans="2:9" ht="15" x14ac:dyDescent="0.25">
      <c r="B10238"/>
      <c r="C10238"/>
      <c r="D10238"/>
      <c r="E10238"/>
      <c r="F10238"/>
      <c r="G10238" s="20"/>
      <c r="H10238"/>
      <c r="I10238"/>
    </row>
    <row r="10239" spans="2:9" ht="15" x14ac:dyDescent="0.25">
      <c r="B10239"/>
      <c r="C10239"/>
      <c r="D10239"/>
      <c r="E10239"/>
      <c r="F10239"/>
      <c r="G10239" s="20"/>
      <c r="H10239"/>
      <c r="I10239"/>
    </row>
    <row r="10240" spans="2:9" ht="15" x14ac:dyDescent="0.25">
      <c r="B10240"/>
      <c r="C10240"/>
      <c r="D10240"/>
      <c r="E10240"/>
      <c r="F10240"/>
      <c r="G10240" s="20"/>
      <c r="H10240"/>
      <c r="I10240"/>
    </row>
    <row r="10241" spans="2:9" ht="15" x14ac:dyDescent="0.25">
      <c r="B10241"/>
      <c r="C10241"/>
      <c r="D10241"/>
      <c r="E10241"/>
      <c r="F10241"/>
      <c r="G10241" s="20"/>
      <c r="H10241"/>
      <c r="I10241"/>
    </row>
    <row r="10242" spans="2:9" ht="15" x14ac:dyDescent="0.25">
      <c r="B10242"/>
      <c r="C10242"/>
      <c r="D10242"/>
      <c r="E10242"/>
      <c r="F10242"/>
      <c r="G10242" s="20"/>
      <c r="H10242"/>
      <c r="I10242"/>
    </row>
    <row r="10243" spans="2:9" ht="15" x14ac:dyDescent="0.25">
      <c r="B10243"/>
      <c r="C10243"/>
      <c r="D10243"/>
      <c r="E10243"/>
      <c r="F10243"/>
      <c r="G10243" s="20"/>
      <c r="H10243"/>
      <c r="I10243"/>
    </row>
    <row r="10244" spans="2:9" ht="15" x14ac:dyDescent="0.25">
      <c r="B10244"/>
      <c r="C10244"/>
      <c r="D10244"/>
      <c r="E10244"/>
      <c r="F10244"/>
      <c r="G10244" s="20"/>
      <c r="H10244"/>
      <c r="I10244"/>
    </row>
    <row r="10245" spans="2:9" ht="15" x14ac:dyDescent="0.25">
      <c r="B10245"/>
      <c r="C10245"/>
      <c r="D10245"/>
      <c r="E10245"/>
      <c r="F10245"/>
      <c r="G10245" s="20"/>
      <c r="H10245"/>
      <c r="I10245"/>
    </row>
    <row r="10246" spans="2:9" ht="15" x14ac:dyDescent="0.25">
      <c r="B10246"/>
      <c r="C10246"/>
      <c r="D10246"/>
      <c r="E10246"/>
      <c r="F10246"/>
      <c r="G10246" s="20"/>
      <c r="H10246"/>
      <c r="I10246"/>
    </row>
    <row r="10247" spans="2:9" ht="15" x14ac:dyDescent="0.25">
      <c r="B10247"/>
      <c r="C10247"/>
      <c r="D10247"/>
      <c r="E10247"/>
      <c r="F10247"/>
      <c r="G10247" s="20"/>
      <c r="H10247"/>
      <c r="I10247"/>
    </row>
    <row r="10248" spans="2:9" ht="15" x14ac:dyDescent="0.25">
      <c r="B10248"/>
      <c r="C10248"/>
      <c r="D10248"/>
      <c r="E10248"/>
      <c r="F10248"/>
      <c r="G10248" s="20"/>
      <c r="H10248"/>
      <c r="I10248"/>
    </row>
    <row r="10249" spans="2:9" ht="15" x14ac:dyDescent="0.25">
      <c r="B10249"/>
      <c r="C10249"/>
      <c r="D10249"/>
      <c r="E10249"/>
      <c r="F10249"/>
      <c r="G10249" s="20"/>
      <c r="H10249"/>
      <c r="I10249"/>
    </row>
    <row r="10250" spans="2:9" ht="15" x14ac:dyDescent="0.25">
      <c r="B10250"/>
      <c r="C10250"/>
      <c r="D10250"/>
      <c r="E10250"/>
      <c r="F10250"/>
      <c r="G10250" s="20"/>
      <c r="H10250"/>
      <c r="I10250"/>
    </row>
    <row r="10251" spans="2:9" ht="15" x14ac:dyDescent="0.25">
      <c r="B10251"/>
      <c r="C10251"/>
      <c r="D10251"/>
      <c r="E10251"/>
      <c r="F10251"/>
      <c r="G10251" s="20"/>
      <c r="H10251"/>
      <c r="I10251"/>
    </row>
    <row r="10252" spans="2:9" ht="15" x14ac:dyDescent="0.25">
      <c r="B10252"/>
      <c r="C10252"/>
      <c r="D10252"/>
      <c r="E10252"/>
      <c r="F10252"/>
      <c r="G10252" s="20"/>
      <c r="H10252"/>
      <c r="I10252"/>
    </row>
    <row r="10253" spans="2:9" ht="15" x14ac:dyDescent="0.25">
      <c r="B10253"/>
      <c r="C10253"/>
      <c r="D10253"/>
      <c r="E10253"/>
      <c r="F10253"/>
      <c r="G10253" s="20"/>
      <c r="H10253"/>
      <c r="I10253"/>
    </row>
    <row r="10254" spans="2:9" ht="15" x14ac:dyDescent="0.25">
      <c r="B10254"/>
      <c r="C10254"/>
      <c r="D10254"/>
      <c r="E10254"/>
      <c r="F10254"/>
      <c r="G10254" s="20"/>
      <c r="H10254"/>
      <c r="I10254"/>
    </row>
    <row r="10255" spans="2:9" ht="15" x14ac:dyDescent="0.25">
      <c r="B10255"/>
      <c r="C10255"/>
      <c r="D10255"/>
      <c r="E10255"/>
      <c r="F10255"/>
      <c r="G10255" s="20"/>
      <c r="H10255"/>
      <c r="I10255"/>
    </row>
    <row r="10256" spans="2:9" ht="15" x14ac:dyDescent="0.25">
      <c r="B10256"/>
      <c r="C10256"/>
      <c r="D10256"/>
      <c r="E10256"/>
      <c r="F10256"/>
      <c r="G10256" s="20"/>
      <c r="H10256"/>
      <c r="I10256"/>
    </row>
    <row r="10257" spans="2:9" ht="15" x14ac:dyDescent="0.25">
      <c r="B10257"/>
      <c r="C10257"/>
      <c r="D10257"/>
      <c r="E10257"/>
      <c r="F10257"/>
      <c r="G10257" s="20"/>
      <c r="H10257"/>
      <c r="I10257"/>
    </row>
    <row r="10258" spans="2:9" ht="15" x14ac:dyDescent="0.25">
      <c r="B10258"/>
      <c r="C10258"/>
      <c r="D10258"/>
      <c r="E10258"/>
      <c r="F10258"/>
      <c r="G10258" s="20"/>
      <c r="H10258"/>
      <c r="I10258"/>
    </row>
    <row r="10259" spans="2:9" ht="15" x14ac:dyDescent="0.25">
      <c r="B10259"/>
      <c r="C10259"/>
      <c r="D10259"/>
      <c r="E10259"/>
      <c r="F10259"/>
      <c r="G10259" s="20"/>
      <c r="H10259"/>
      <c r="I10259"/>
    </row>
    <row r="10260" spans="2:9" ht="15" x14ac:dyDescent="0.25">
      <c r="B10260"/>
      <c r="C10260"/>
      <c r="D10260"/>
      <c r="E10260"/>
      <c r="F10260"/>
      <c r="G10260" s="20"/>
      <c r="H10260"/>
      <c r="I10260"/>
    </row>
    <row r="10261" spans="2:9" ht="15" x14ac:dyDescent="0.25">
      <c r="B10261"/>
      <c r="C10261"/>
      <c r="D10261"/>
      <c r="E10261"/>
      <c r="F10261"/>
      <c r="G10261" s="20"/>
      <c r="H10261"/>
      <c r="I10261"/>
    </row>
    <row r="10262" spans="2:9" ht="15" x14ac:dyDescent="0.25">
      <c r="B10262"/>
      <c r="C10262"/>
      <c r="D10262"/>
      <c r="E10262"/>
      <c r="F10262"/>
      <c r="G10262" s="20"/>
      <c r="H10262"/>
      <c r="I10262"/>
    </row>
    <row r="10263" spans="2:9" ht="15" x14ac:dyDescent="0.25">
      <c r="B10263"/>
      <c r="C10263"/>
      <c r="D10263"/>
      <c r="E10263"/>
      <c r="F10263"/>
      <c r="G10263" s="20"/>
      <c r="H10263"/>
      <c r="I10263"/>
    </row>
    <row r="10264" spans="2:9" ht="15" x14ac:dyDescent="0.25">
      <c r="B10264"/>
      <c r="C10264"/>
      <c r="D10264"/>
      <c r="E10264"/>
      <c r="F10264"/>
      <c r="G10264" s="20"/>
      <c r="H10264"/>
      <c r="I10264"/>
    </row>
    <row r="10265" spans="2:9" ht="15" x14ac:dyDescent="0.25">
      <c r="B10265"/>
      <c r="C10265"/>
      <c r="D10265"/>
      <c r="E10265"/>
      <c r="F10265"/>
      <c r="G10265" s="20"/>
      <c r="H10265"/>
      <c r="I10265"/>
    </row>
    <row r="10266" spans="2:9" ht="15" x14ac:dyDescent="0.25">
      <c r="B10266"/>
      <c r="C10266"/>
      <c r="D10266"/>
      <c r="E10266"/>
      <c r="F10266"/>
      <c r="G10266" s="20"/>
      <c r="H10266"/>
      <c r="I10266"/>
    </row>
    <row r="10267" spans="2:9" ht="15" x14ac:dyDescent="0.25">
      <c r="B10267"/>
      <c r="C10267"/>
      <c r="D10267"/>
      <c r="E10267"/>
      <c r="F10267"/>
      <c r="G10267" s="20"/>
      <c r="H10267"/>
      <c r="I10267"/>
    </row>
    <row r="10268" spans="2:9" ht="15" x14ac:dyDescent="0.25">
      <c r="B10268"/>
      <c r="C10268"/>
      <c r="D10268"/>
      <c r="E10268"/>
      <c r="F10268"/>
      <c r="G10268" s="20"/>
      <c r="H10268"/>
      <c r="I10268"/>
    </row>
    <row r="10269" spans="2:9" ht="15" x14ac:dyDescent="0.25">
      <c r="B10269"/>
      <c r="C10269"/>
      <c r="D10269"/>
      <c r="E10269"/>
      <c r="F10269"/>
      <c r="G10269" s="20"/>
      <c r="H10269"/>
      <c r="I10269"/>
    </row>
    <row r="10270" spans="2:9" ht="15" x14ac:dyDescent="0.25">
      <c r="B10270"/>
      <c r="C10270"/>
      <c r="D10270"/>
      <c r="E10270"/>
      <c r="F10270"/>
      <c r="G10270" s="20"/>
      <c r="H10270"/>
      <c r="I10270"/>
    </row>
    <row r="10271" spans="2:9" ht="15" x14ac:dyDescent="0.25">
      <c r="B10271"/>
      <c r="C10271"/>
      <c r="D10271"/>
      <c r="E10271"/>
      <c r="F10271"/>
      <c r="G10271" s="20"/>
      <c r="H10271"/>
      <c r="I10271"/>
    </row>
    <row r="10272" spans="2:9" ht="15" x14ac:dyDescent="0.25">
      <c r="B10272"/>
      <c r="C10272"/>
      <c r="D10272"/>
      <c r="E10272"/>
      <c r="F10272"/>
      <c r="G10272" s="20"/>
      <c r="H10272"/>
      <c r="I10272"/>
    </row>
    <row r="10273" spans="2:9" ht="15" x14ac:dyDescent="0.25">
      <c r="B10273"/>
      <c r="C10273"/>
      <c r="D10273"/>
      <c r="E10273"/>
      <c r="F10273"/>
      <c r="G10273" s="20"/>
      <c r="H10273"/>
      <c r="I10273"/>
    </row>
    <row r="10274" spans="2:9" ht="15" x14ac:dyDescent="0.25">
      <c r="B10274"/>
      <c r="C10274"/>
      <c r="D10274"/>
      <c r="E10274"/>
      <c r="F10274"/>
      <c r="G10274" s="20"/>
      <c r="H10274"/>
      <c r="I10274"/>
    </row>
    <row r="10275" spans="2:9" ht="15" x14ac:dyDescent="0.25">
      <c r="B10275"/>
      <c r="C10275"/>
      <c r="D10275"/>
      <c r="E10275"/>
      <c r="F10275"/>
      <c r="G10275" s="20"/>
      <c r="H10275"/>
      <c r="I10275"/>
    </row>
    <row r="10276" spans="2:9" ht="15" x14ac:dyDescent="0.25">
      <c r="B10276"/>
      <c r="C10276"/>
      <c r="D10276"/>
      <c r="E10276"/>
      <c r="F10276"/>
      <c r="G10276" s="20"/>
      <c r="H10276"/>
      <c r="I10276"/>
    </row>
    <row r="10277" spans="2:9" ht="15" x14ac:dyDescent="0.25">
      <c r="B10277"/>
      <c r="C10277"/>
      <c r="D10277"/>
      <c r="E10277"/>
      <c r="F10277"/>
      <c r="G10277" s="20"/>
      <c r="H10277"/>
      <c r="I10277"/>
    </row>
    <row r="10278" spans="2:9" ht="15" x14ac:dyDescent="0.25">
      <c r="B10278"/>
      <c r="C10278"/>
      <c r="D10278"/>
      <c r="E10278"/>
      <c r="F10278"/>
      <c r="G10278" s="20"/>
      <c r="H10278"/>
      <c r="I10278"/>
    </row>
    <row r="10279" spans="2:9" ht="15" x14ac:dyDescent="0.25">
      <c r="B10279"/>
      <c r="C10279"/>
      <c r="D10279"/>
      <c r="E10279"/>
      <c r="F10279"/>
      <c r="G10279" s="20"/>
      <c r="H10279"/>
      <c r="I10279"/>
    </row>
    <row r="10280" spans="2:9" ht="15" x14ac:dyDescent="0.25">
      <c r="B10280"/>
      <c r="C10280"/>
      <c r="D10280"/>
      <c r="E10280"/>
      <c r="F10280"/>
      <c r="G10280" s="20"/>
      <c r="H10280"/>
      <c r="I10280"/>
    </row>
    <row r="10281" spans="2:9" ht="15" x14ac:dyDescent="0.25">
      <c r="B10281"/>
      <c r="C10281"/>
      <c r="D10281"/>
      <c r="E10281"/>
      <c r="F10281"/>
      <c r="G10281" s="20"/>
      <c r="H10281"/>
      <c r="I10281"/>
    </row>
    <row r="10282" spans="2:9" ht="15" x14ac:dyDescent="0.25">
      <c r="B10282"/>
      <c r="C10282"/>
      <c r="D10282"/>
      <c r="E10282"/>
      <c r="F10282"/>
      <c r="G10282" s="20"/>
      <c r="H10282"/>
      <c r="I10282"/>
    </row>
    <row r="10283" spans="2:9" ht="15" x14ac:dyDescent="0.25">
      <c r="B10283"/>
      <c r="C10283"/>
      <c r="D10283"/>
      <c r="E10283"/>
      <c r="F10283"/>
      <c r="G10283" s="20"/>
      <c r="H10283"/>
      <c r="I10283"/>
    </row>
    <row r="10284" spans="2:9" ht="15" x14ac:dyDescent="0.25">
      <c r="B10284"/>
      <c r="C10284"/>
      <c r="D10284"/>
      <c r="E10284"/>
      <c r="F10284"/>
      <c r="G10284" s="20"/>
      <c r="H10284"/>
      <c r="I10284"/>
    </row>
    <row r="10285" spans="2:9" ht="15" x14ac:dyDescent="0.25">
      <c r="B10285"/>
      <c r="C10285"/>
      <c r="D10285"/>
      <c r="E10285"/>
      <c r="F10285"/>
      <c r="G10285" s="20"/>
      <c r="H10285"/>
      <c r="I10285"/>
    </row>
    <row r="10286" spans="2:9" ht="15" x14ac:dyDescent="0.25">
      <c r="B10286"/>
      <c r="C10286"/>
      <c r="D10286"/>
      <c r="E10286"/>
      <c r="F10286"/>
      <c r="G10286" s="20"/>
      <c r="H10286"/>
      <c r="I10286"/>
    </row>
    <row r="10287" spans="2:9" ht="15" x14ac:dyDescent="0.25">
      <c r="B10287"/>
      <c r="C10287"/>
      <c r="D10287"/>
      <c r="E10287"/>
      <c r="F10287"/>
      <c r="G10287" s="20"/>
      <c r="H10287"/>
      <c r="I10287"/>
    </row>
    <row r="10288" spans="2:9" ht="15" x14ac:dyDescent="0.25">
      <c r="B10288"/>
      <c r="C10288"/>
      <c r="D10288"/>
      <c r="E10288"/>
      <c r="F10288"/>
      <c r="G10288" s="20"/>
      <c r="H10288"/>
      <c r="I10288"/>
    </row>
    <row r="10289" spans="2:9" ht="15" x14ac:dyDescent="0.25">
      <c r="B10289"/>
      <c r="C10289"/>
      <c r="D10289"/>
      <c r="E10289"/>
      <c r="F10289"/>
      <c r="G10289" s="20"/>
      <c r="H10289"/>
      <c r="I10289"/>
    </row>
    <row r="10290" spans="2:9" ht="15" x14ac:dyDescent="0.25">
      <c r="B10290"/>
      <c r="C10290"/>
      <c r="D10290"/>
      <c r="E10290"/>
      <c r="F10290"/>
      <c r="G10290" s="20"/>
      <c r="H10290"/>
      <c r="I10290"/>
    </row>
    <row r="10291" spans="2:9" ht="15" x14ac:dyDescent="0.25">
      <c r="B10291"/>
      <c r="C10291"/>
      <c r="D10291"/>
      <c r="E10291"/>
      <c r="F10291"/>
      <c r="G10291" s="20"/>
      <c r="H10291"/>
      <c r="I10291"/>
    </row>
    <row r="10292" spans="2:9" ht="15" x14ac:dyDescent="0.25">
      <c r="B10292"/>
      <c r="C10292"/>
      <c r="D10292"/>
      <c r="E10292"/>
      <c r="F10292"/>
      <c r="G10292" s="20"/>
      <c r="H10292"/>
      <c r="I10292"/>
    </row>
    <row r="10293" spans="2:9" ht="15" x14ac:dyDescent="0.25">
      <c r="B10293"/>
      <c r="C10293"/>
      <c r="D10293"/>
      <c r="E10293"/>
      <c r="F10293"/>
      <c r="G10293" s="20"/>
      <c r="H10293"/>
      <c r="I10293"/>
    </row>
    <row r="10294" spans="2:9" ht="15" x14ac:dyDescent="0.25">
      <c r="B10294"/>
      <c r="C10294"/>
      <c r="D10294"/>
      <c r="E10294"/>
      <c r="F10294"/>
      <c r="G10294" s="20"/>
      <c r="H10294"/>
      <c r="I10294"/>
    </row>
    <row r="10295" spans="2:9" ht="15" x14ac:dyDescent="0.25">
      <c r="B10295"/>
      <c r="C10295"/>
      <c r="D10295"/>
      <c r="E10295"/>
      <c r="F10295"/>
      <c r="G10295" s="20"/>
      <c r="H10295"/>
      <c r="I10295"/>
    </row>
    <row r="10296" spans="2:9" ht="15" x14ac:dyDescent="0.25">
      <c r="B10296"/>
      <c r="C10296"/>
      <c r="D10296"/>
      <c r="E10296"/>
      <c r="F10296"/>
      <c r="G10296" s="20"/>
      <c r="H10296"/>
      <c r="I10296"/>
    </row>
    <row r="10297" spans="2:9" ht="15" x14ac:dyDescent="0.25">
      <c r="B10297"/>
      <c r="C10297"/>
      <c r="D10297"/>
      <c r="E10297"/>
      <c r="F10297"/>
      <c r="G10297" s="20"/>
      <c r="H10297"/>
      <c r="I10297"/>
    </row>
    <row r="10298" spans="2:9" ht="15" x14ac:dyDescent="0.25">
      <c r="B10298"/>
      <c r="C10298"/>
      <c r="D10298"/>
      <c r="E10298"/>
      <c r="F10298"/>
      <c r="G10298" s="20"/>
      <c r="H10298"/>
      <c r="I10298"/>
    </row>
    <row r="10299" spans="2:9" ht="15" x14ac:dyDescent="0.25">
      <c r="B10299"/>
      <c r="C10299"/>
      <c r="D10299"/>
      <c r="E10299"/>
      <c r="F10299"/>
      <c r="G10299" s="20"/>
      <c r="H10299"/>
      <c r="I10299"/>
    </row>
    <row r="10300" spans="2:9" ht="15" x14ac:dyDescent="0.25">
      <c r="B10300"/>
      <c r="C10300"/>
      <c r="D10300"/>
      <c r="E10300"/>
      <c r="F10300"/>
      <c r="G10300" s="20"/>
      <c r="H10300"/>
      <c r="I10300"/>
    </row>
    <row r="10301" spans="2:9" ht="15" x14ac:dyDescent="0.25">
      <c r="B10301"/>
      <c r="C10301"/>
      <c r="D10301"/>
      <c r="E10301"/>
      <c r="F10301"/>
      <c r="G10301" s="20"/>
      <c r="H10301"/>
      <c r="I10301"/>
    </row>
    <row r="10302" spans="2:9" ht="15" x14ac:dyDescent="0.25">
      <c r="B10302"/>
      <c r="C10302"/>
      <c r="D10302"/>
      <c r="E10302"/>
      <c r="F10302"/>
      <c r="G10302" s="20"/>
      <c r="H10302"/>
      <c r="I10302"/>
    </row>
    <row r="10303" spans="2:9" ht="15" x14ac:dyDescent="0.25">
      <c r="B10303"/>
      <c r="C10303"/>
      <c r="D10303"/>
      <c r="E10303"/>
      <c r="F10303"/>
      <c r="G10303" s="20"/>
      <c r="H10303"/>
      <c r="I10303"/>
    </row>
    <row r="10304" spans="2:9" ht="15" x14ac:dyDescent="0.25">
      <c r="B10304"/>
      <c r="C10304"/>
      <c r="D10304"/>
      <c r="E10304"/>
      <c r="F10304"/>
      <c r="G10304" s="20"/>
      <c r="H10304"/>
      <c r="I10304"/>
    </row>
    <row r="10305" spans="2:9" ht="15" x14ac:dyDescent="0.25">
      <c r="B10305"/>
      <c r="C10305"/>
      <c r="D10305"/>
      <c r="E10305"/>
      <c r="F10305"/>
      <c r="G10305" s="20"/>
      <c r="H10305"/>
      <c r="I10305"/>
    </row>
    <row r="10306" spans="2:9" ht="15" x14ac:dyDescent="0.25">
      <c r="B10306"/>
      <c r="C10306"/>
      <c r="D10306"/>
      <c r="E10306"/>
      <c r="F10306"/>
      <c r="G10306" s="20"/>
      <c r="H10306"/>
      <c r="I10306"/>
    </row>
    <row r="10307" spans="2:9" ht="15" x14ac:dyDescent="0.25">
      <c r="B10307"/>
      <c r="C10307"/>
      <c r="D10307"/>
      <c r="E10307"/>
      <c r="F10307"/>
      <c r="G10307" s="20"/>
      <c r="H10307"/>
      <c r="I10307"/>
    </row>
    <row r="10308" spans="2:9" ht="15" x14ac:dyDescent="0.25">
      <c r="B10308"/>
      <c r="C10308"/>
      <c r="D10308"/>
      <c r="E10308"/>
      <c r="F10308"/>
      <c r="G10308" s="20"/>
      <c r="H10308"/>
      <c r="I10308"/>
    </row>
    <row r="10309" spans="2:9" ht="15" x14ac:dyDescent="0.25">
      <c r="B10309"/>
      <c r="C10309"/>
      <c r="D10309"/>
      <c r="E10309"/>
      <c r="F10309"/>
      <c r="G10309" s="20"/>
      <c r="H10309"/>
      <c r="I10309"/>
    </row>
    <row r="10310" spans="2:9" ht="15" x14ac:dyDescent="0.25">
      <c r="B10310"/>
      <c r="C10310"/>
      <c r="D10310"/>
      <c r="E10310"/>
      <c r="F10310"/>
      <c r="G10310" s="20"/>
      <c r="H10310"/>
      <c r="I10310"/>
    </row>
    <row r="10311" spans="2:9" ht="15" x14ac:dyDescent="0.25">
      <c r="B10311"/>
      <c r="C10311"/>
      <c r="D10311"/>
      <c r="E10311"/>
      <c r="F10311"/>
      <c r="G10311" s="20"/>
      <c r="H10311"/>
      <c r="I10311"/>
    </row>
    <row r="10312" spans="2:9" ht="15" x14ac:dyDescent="0.25">
      <c r="B10312"/>
      <c r="C10312"/>
      <c r="D10312"/>
      <c r="E10312"/>
      <c r="F10312"/>
      <c r="G10312" s="20"/>
      <c r="H10312"/>
      <c r="I10312"/>
    </row>
    <row r="10313" spans="2:9" ht="15" x14ac:dyDescent="0.25">
      <c r="B10313"/>
      <c r="C10313"/>
      <c r="D10313"/>
      <c r="E10313"/>
      <c r="F10313"/>
      <c r="G10313" s="20"/>
      <c r="H10313"/>
      <c r="I10313"/>
    </row>
    <row r="10314" spans="2:9" ht="15" x14ac:dyDescent="0.25">
      <c r="B10314"/>
      <c r="C10314"/>
      <c r="D10314"/>
      <c r="E10314"/>
      <c r="F10314"/>
      <c r="G10314" s="20"/>
      <c r="H10314"/>
      <c r="I10314"/>
    </row>
    <row r="10315" spans="2:9" ht="15" x14ac:dyDescent="0.25">
      <c r="B10315"/>
      <c r="C10315"/>
      <c r="D10315"/>
      <c r="E10315"/>
      <c r="F10315"/>
      <c r="G10315" s="20"/>
      <c r="H10315"/>
      <c r="I10315"/>
    </row>
    <row r="10316" spans="2:9" ht="15" x14ac:dyDescent="0.25">
      <c r="B10316"/>
      <c r="C10316"/>
      <c r="D10316"/>
      <c r="E10316"/>
      <c r="F10316"/>
      <c r="G10316" s="20"/>
      <c r="H10316"/>
      <c r="I10316"/>
    </row>
    <row r="10317" spans="2:9" ht="15" x14ac:dyDescent="0.25">
      <c r="B10317"/>
      <c r="C10317"/>
      <c r="D10317"/>
      <c r="E10317"/>
      <c r="F10317"/>
      <c r="G10317" s="20"/>
      <c r="H10317"/>
      <c r="I10317"/>
    </row>
    <row r="10318" spans="2:9" ht="15" x14ac:dyDescent="0.25">
      <c r="B10318"/>
      <c r="C10318"/>
      <c r="D10318"/>
      <c r="E10318"/>
      <c r="F10318"/>
      <c r="G10318" s="20"/>
      <c r="H10318"/>
      <c r="I10318"/>
    </row>
    <row r="10319" spans="2:9" ht="15" x14ac:dyDescent="0.25">
      <c r="B10319"/>
      <c r="C10319"/>
      <c r="D10319"/>
      <c r="E10319"/>
      <c r="F10319"/>
      <c r="G10319" s="20"/>
      <c r="H10319"/>
      <c r="I10319"/>
    </row>
    <row r="10320" spans="2:9" ht="15" x14ac:dyDescent="0.25">
      <c r="B10320"/>
      <c r="C10320"/>
      <c r="D10320"/>
      <c r="E10320"/>
      <c r="F10320"/>
      <c r="G10320" s="20"/>
      <c r="H10320"/>
      <c r="I10320"/>
    </row>
    <row r="10321" spans="2:9" ht="15" x14ac:dyDescent="0.25">
      <c r="B10321"/>
      <c r="C10321"/>
      <c r="D10321"/>
      <c r="E10321"/>
      <c r="F10321"/>
      <c r="G10321" s="20"/>
      <c r="H10321"/>
      <c r="I10321"/>
    </row>
    <row r="10322" spans="2:9" ht="15" x14ac:dyDescent="0.25">
      <c r="B10322"/>
      <c r="C10322"/>
      <c r="D10322"/>
      <c r="E10322"/>
      <c r="F10322"/>
      <c r="G10322" s="20"/>
      <c r="H10322"/>
      <c r="I10322"/>
    </row>
    <row r="10323" spans="2:9" ht="15" x14ac:dyDescent="0.25">
      <c r="B10323"/>
      <c r="C10323"/>
      <c r="D10323"/>
      <c r="E10323"/>
      <c r="F10323"/>
      <c r="G10323" s="20"/>
      <c r="H10323"/>
      <c r="I10323"/>
    </row>
    <row r="10324" spans="2:9" ht="15" x14ac:dyDescent="0.25">
      <c r="B10324"/>
      <c r="C10324"/>
      <c r="D10324"/>
      <c r="E10324"/>
      <c r="F10324"/>
      <c r="G10324" s="20"/>
      <c r="H10324"/>
      <c r="I10324"/>
    </row>
    <row r="10325" spans="2:9" ht="15" x14ac:dyDescent="0.25">
      <c r="B10325"/>
      <c r="C10325"/>
      <c r="D10325"/>
      <c r="E10325"/>
      <c r="F10325"/>
      <c r="G10325" s="20"/>
      <c r="H10325"/>
      <c r="I10325"/>
    </row>
    <row r="10326" spans="2:9" ht="15" x14ac:dyDescent="0.25">
      <c r="B10326"/>
      <c r="C10326"/>
      <c r="D10326"/>
      <c r="E10326"/>
      <c r="F10326"/>
      <c r="G10326" s="20"/>
      <c r="H10326"/>
      <c r="I10326"/>
    </row>
    <row r="10327" spans="2:9" ht="15" x14ac:dyDescent="0.25">
      <c r="B10327"/>
      <c r="C10327"/>
      <c r="D10327"/>
      <c r="E10327"/>
      <c r="F10327"/>
      <c r="G10327" s="20"/>
      <c r="H10327"/>
      <c r="I10327"/>
    </row>
    <row r="10328" spans="2:9" ht="15" x14ac:dyDescent="0.25">
      <c r="B10328"/>
      <c r="C10328"/>
      <c r="D10328"/>
      <c r="E10328"/>
      <c r="F10328"/>
      <c r="G10328" s="20"/>
      <c r="H10328"/>
      <c r="I10328"/>
    </row>
    <row r="10329" spans="2:9" ht="15" x14ac:dyDescent="0.25">
      <c r="B10329"/>
      <c r="C10329"/>
      <c r="D10329"/>
      <c r="E10329"/>
      <c r="F10329"/>
      <c r="G10329" s="20"/>
      <c r="H10329"/>
      <c r="I10329"/>
    </row>
    <row r="10330" spans="2:9" ht="15" x14ac:dyDescent="0.25">
      <c r="B10330"/>
      <c r="C10330"/>
      <c r="D10330"/>
      <c r="E10330"/>
      <c r="F10330"/>
      <c r="G10330" s="20"/>
      <c r="H10330"/>
      <c r="I10330"/>
    </row>
    <row r="10331" spans="2:9" ht="15" x14ac:dyDescent="0.25">
      <c r="B10331"/>
      <c r="C10331"/>
      <c r="D10331"/>
      <c r="E10331"/>
      <c r="F10331"/>
      <c r="G10331" s="20"/>
      <c r="H10331"/>
      <c r="I10331"/>
    </row>
    <row r="10332" spans="2:9" ht="15" x14ac:dyDescent="0.25">
      <c r="B10332"/>
      <c r="C10332"/>
      <c r="D10332"/>
      <c r="E10332"/>
      <c r="F10332"/>
      <c r="G10332" s="20"/>
      <c r="H10332"/>
      <c r="I10332"/>
    </row>
    <row r="10333" spans="2:9" ht="15" x14ac:dyDescent="0.25">
      <c r="B10333"/>
      <c r="C10333"/>
      <c r="D10333"/>
      <c r="E10333"/>
      <c r="F10333"/>
      <c r="G10333" s="20"/>
      <c r="H10333"/>
      <c r="I10333"/>
    </row>
    <row r="10334" spans="2:9" ht="15" x14ac:dyDescent="0.25">
      <c r="B10334"/>
      <c r="C10334"/>
      <c r="D10334"/>
      <c r="E10334"/>
      <c r="F10334"/>
      <c r="G10334" s="20"/>
      <c r="H10334"/>
      <c r="I10334"/>
    </row>
    <row r="10335" spans="2:9" ht="15" x14ac:dyDescent="0.25">
      <c r="B10335"/>
      <c r="C10335"/>
      <c r="D10335"/>
      <c r="E10335"/>
      <c r="F10335"/>
      <c r="G10335" s="20"/>
      <c r="H10335"/>
      <c r="I10335"/>
    </row>
    <row r="10336" spans="2:9" ht="15" x14ac:dyDescent="0.25">
      <c r="B10336"/>
      <c r="C10336"/>
      <c r="D10336"/>
      <c r="E10336"/>
      <c r="F10336"/>
      <c r="G10336" s="20"/>
      <c r="H10336"/>
      <c r="I10336"/>
    </row>
    <row r="10337" spans="2:9" ht="15" x14ac:dyDescent="0.25">
      <c r="B10337"/>
      <c r="C10337"/>
      <c r="D10337"/>
      <c r="E10337"/>
      <c r="F10337"/>
      <c r="G10337" s="20"/>
      <c r="H10337"/>
      <c r="I10337"/>
    </row>
    <row r="10338" spans="2:9" ht="15" x14ac:dyDescent="0.25">
      <c r="B10338"/>
      <c r="C10338"/>
      <c r="D10338"/>
      <c r="E10338"/>
      <c r="F10338"/>
      <c r="G10338" s="20"/>
      <c r="H10338"/>
      <c r="I10338"/>
    </row>
    <row r="10339" spans="2:9" ht="15" x14ac:dyDescent="0.25">
      <c r="B10339"/>
      <c r="C10339"/>
      <c r="D10339"/>
      <c r="E10339"/>
      <c r="F10339"/>
      <c r="G10339" s="20"/>
      <c r="H10339"/>
      <c r="I10339"/>
    </row>
    <row r="10340" spans="2:9" ht="15" x14ac:dyDescent="0.25">
      <c r="B10340"/>
      <c r="C10340"/>
      <c r="D10340"/>
      <c r="E10340"/>
      <c r="F10340"/>
      <c r="G10340" s="20"/>
      <c r="H10340"/>
      <c r="I10340"/>
    </row>
    <row r="10341" spans="2:9" ht="15" x14ac:dyDescent="0.25">
      <c r="B10341"/>
      <c r="C10341"/>
      <c r="D10341"/>
      <c r="E10341"/>
      <c r="F10341"/>
      <c r="G10341" s="20"/>
      <c r="H10341"/>
      <c r="I10341"/>
    </row>
    <row r="10342" spans="2:9" ht="15" x14ac:dyDescent="0.25">
      <c r="B10342"/>
      <c r="C10342"/>
      <c r="D10342"/>
      <c r="E10342"/>
      <c r="F10342"/>
      <c r="G10342" s="20"/>
      <c r="H10342"/>
      <c r="I10342"/>
    </row>
    <row r="10343" spans="2:9" ht="15" x14ac:dyDescent="0.25">
      <c r="B10343"/>
      <c r="C10343"/>
      <c r="D10343"/>
      <c r="E10343"/>
      <c r="F10343"/>
      <c r="G10343" s="20"/>
      <c r="H10343"/>
      <c r="I10343"/>
    </row>
    <row r="10344" spans="2:9" ht="15" x14ac:dyDescent="0.25">
      <c r="B10344"/>
      <c r="C10344"/>
      <c r="D10344"/>
      <c r="E10344"/>
      <c r="F10344"/>
      <c r="G10344" s="20"/>
      <c r="H10344"/>
      <c r="I10344"/>
    </row>
    <row r="10345" spans="2:9" ht="15" x14ac:dyDescent="0.25">
      <c r="B10345"/>
      <c r="C10345"/>
      <c r="D10345"/>
      <c r="E10345"/>
      <c r="F10345"/>
      <c r="G10345" s="20"/>
      <c r="H10345"/>
      <c r="I10345"/>
    </row>
    <row r="10346" spans="2:9" ht="15" x14ac:dyDescent="0.25">
      <c r="B10346"/>
      <c r="C10346"/>
      <c r="D10346"/>
      <c r="E10346"/>
      <c r="F10346"/>
      <c r="G10346" s="20"/>
      <c r="H10346"/>
      <c r="I10346"/>
    </row>
    <row r="10347" spans="2:9" ht="15" x14ac:dyDescent="0.25">
      <c r="B10347"/>
      <c r="C10347"/>
      <c r="D10347"/>
      <c r="E10347"/>
      <c r="F10347"/>
      <c r="G10347" s="20"/>
      <c r="H10347"/>
      <c r="I10347"/>
    </row>
    <row r="10348" spans="2:9" ht="15" x14ac:dyDescent="0.25">
      <c r="B10348"/>
      <c r="C10348"/>
      <c r="D10348"/>
      <c r="E10348"/>
      <c r="F10348"/>
      <c r="G10348" s="20"/>
      <c r="H10348"/>
      <c r="I10348"/>
    </row>
    <row r="10349" spans="2:9" ht="15" x14ac:dyDescent="0.25">
      <c r="B10349"/>
      <c r="C10349"/>
      <c r="D10349"/>
      <c r="E10349"/>
      <c r="F10349"/>
      <c r="G10349" s="20"/>
      <c r="H10349"/>
      <c r="I10349"/>
    </row>
    <row r="10350" spans="2:9" ht="15" x14ac:dyDescent="0.25">
      <c r="B10350"/>
      <c r="C10350"/>
      <c r="D10350"/>
      <c r="E10350"/>
      <c r="F10350"/>
      <c r="G10350" s="20"/>
      <c r="H10350"/>
      <c r="I10350"/>
    </row>
    <row r="10351" spans="2:9" ht="15" x14ac:dyDescent="0.25">
      <c r="B10351"/>
      <c r="C10351"/>
      <c r="D10351"/>
      <c r="E10351"/>
      <c r="F10351"/>
      <c r="G10351" s="20"/>
      <c r="H10351"/>
      <c r="I10351"/>
    </row>
    <row r="10352" spans="2:9" ht="15" x14ac:dyDescent="0.25">
      <c r="B10352"/>
      <c r="C10352"/>
      <c r="D10352"/>
      <c r="E10352"/>
      <c r="F10352"/>
      <c r="G10352" s="20"/>
      <c r="H10352"/>
      <c r="I10352"/>
    </row>
    <row r="10353" spans="2:9" ht="15" x14ac:dyDescent="0.25">
      <c r="B10353"/>
      <c r="C10353"/>
      <c r="D10353"/>
      <c r="E10353"/>
      <c r="F10353"/>
      <c r="G10353" s="20"/>
      <c r="H10353"/>
      <c r="I10353"/>
    </row>
    <row r="10354" spans="2:9" ht="15" x14ac:dyDescent="0.25">
      <c r="B10354"/>
      <c r="C10354"/>
      <c r="D10354"/>
      <c r="E10354"/>
      <c r="F10354"/>
      <c r="G10354" s="20"/>
      <c r="H10354"/>
      <c r="I10354"/>
    </row>
    <row r="10355" spans="2:9" ht="15" x14ac:dyDescent="0.25">
      <c r="B10355"/>
      <c r="C10355"/>
      <c r="D10355"/>
      <c r="E10355"/>
      <c r="F10355"/>
      <c r="G10355" s="20"/>
      <c r="H10355"/>
      <c r="I10355"/>
    </row>
    <row r="10356" spans="2:9" ht="15" x14ac:dyDescent="0.25">
      <c r="B10356"/>
      <c r="C10356"/>
      <c r="D10356"/>
      <c r="E10356"/>
      <c r="F10356"/>
      <c r="G10356" s="20"/>
      <c r="H10356"/>
      <c r="I10356"/>
    </row>
    <row r="10357" spans="2:9" ht="15" x14ac:dyDescent="0.25">
      <c r="B10357"/>
      <c r="C10357"/>
      <c r="D10357"/>
      <c r="E10357"/>
      <c r="F10357"/>
      <c r="G10357" s="20"/>
      <c r="H10357"/>
      <c r="I10357"/>
    </row>
    <row r="10358" spans="2:9" ht="15" x14ac:dyDescent="0.25">
      <c r="B10358"/>
      <c r="C10358"/>
      <c r="D10358"/>
      <c r="E10358"/>
      <c r="F10358"/>
      <c r="G10358" s="20"/>
      <c r="H10358"/>
      <c r="I10358"/>
    </row>
    <row r="10359" spans="2:9" ht="15" x14ac:dyDescent="0.25">
      <c r="B10359"/>
      <c r="C10359"/>
      <c r="D10359"/>
      <c r="E10359"/>
      <c r="F10359"/>
      <c r="G10359" s="20"/>
      <c r="H10359"/>
      <c r="I10359"/>
    </row>
    <row r="10360" spans="2:9" ht="15" x14ac:dyDescent="0.25">
      <c r="B10360"/>
      <c r="C10360"/>
      <c r="D10360"/>
      <c r="E10360"/>
      <c r="F10360"/>
      <c r="G10360" s="20"/>
      <c r="H10360"/>
      <c r="I10360"/>
    </row>
    <row r="10361" spans="2:9" ht="15" x14ac:dyDescent="0.25">
      <c r="B10361"/>
      <c r="C10361"/>
      <c r="D10361"/>
      <c r="E10361"/>
      <c r="F10361"/>
      <c r="G10361" s="20"/>
      <c r="H10361"/>
      <c r="I10361"/>
    </row>
    <row r="10362" spans="2:9" ht="15" x14ac:dyDescent="0.25">
      <c r="B10362"/>
      <c r="C10362"/>
      <c r="D10362"/>
      <c r="E10362"/>
      <c r="F10362"/>
      <c r="G10362" s="20"/>
      <c r="H10362"/>
      <c r="I10362"/>
    </row>
    <row r="10363" spans="2:9" ht="15" x14ac:dyDescent="0.25">
      <c r="B10363"/>
      <c r="C10363"/>
      <c r="D10363"/>
      <c r="E10363"/>
      <c r="F10363"/>
      <c r="G10363" s="20"/>
      <c r="H10363"/>
      <c r="I10363"/>
    </row>
    <row r="10364" spans="2:9" ht="15" x14ac:dyDescent="0.25">
      <c r="B10364"/>
      <c r="C10364"/>
      <c r="D10364"/>
      <c r="E10364"/>
      <c r="F10364"/>
      <c r="G10364" s="20"/>
      <c r="H10364"/>
      <c r="I10364"/>
    </row>
    <row r="10365" spans="2:9" ht="15" x14ac:dyDescent="0.25">
      <c r="B10365"/>
      <c r="C10365"/>
      <c r="D10365"/>
      <c r="E10365"/>
      <c r="F10365"/>
      <c r="G10365" s="20"/>
      <c r="H10365"/>
      <c r="I10365"/>
    </row>
    <row r="10366" spans="2:9" ht="15" x14ac:dyDescent="0.25">
      <c r="B10366"/>
      <c r="C10366"/>
      <c r="D10366"/>
      <c r="E10366"/>
      <c r="F10366"/>
      <c r="G10366" s="20"/>
      <c r="H10366"/>
      <c r="I10366"/>
    </row>
    <row r="10367" spans="2:9" ht="15" x14ac:dyDescent="0.25">
      <c r="B10367"/>
      <c r="C10367"/>
      <c r="D10367"/>
      <c r="E10367"/>
      <c r="F10367"/>
      <c r="G10367" s="20"/>
      <c r="H10367"/>
      <c r="I10367"/>
    </row>
    <row r="10368" spans="2:9" ht="15" x14ac:dyDescent="0.25">
      <c r="B10368"/>
      <c r="C10368"/>
      <c r="D10368"/>
      <c r="E10368"/>
      <c r="F10368"/>
      <c r="G10368" s="20"/>
      <c r="H10368"/>
      <c r="I10368"/>
    </row>
    <row r="10369" spans="2:9" ht="15" x14ac:dyDescent="0.25">
      <c r="B10369"/>
      <c r="C10369"/>
      <c r="D10369"/>
      <c r="E10369"/>
      <c r="F10369"/>
      <c r="G10369" s="20"/>
      <c r="H10369"/>
      <c r="I10369"/>
    </row>
    <row r="10370" spans="2:9" ht="15" x14ac:dyDescent="0.25">
      <c r="B10370"/>
      <c r="C10370"/>
      <c r="D10370"/>
      <c r="E10370"/>
      <c r="F10370"/>
      <c r="G10370" s="20"/>
      <c r="H10370"/>
      <c r="I10370"/>
    </row>
    <row r="10371" spans="2:9" ht="15" x14ac:dyDescent="0.25">
      <c r="B10371"/>
      <c r="C10371"/>
      <c r="D10371"/>
      <c r="E10371"/>
      <c r="F10371"/>
      <c r="G10371" s="20"/>
      <c r="H10371"/>
      <c r="I10371"/>
    </row>
    <row r="10372" spans="2:9" ht="15" x14ac:dyDescent="0.25">
      <c r="B10372"/>
      <c r="C10372"/>
      <c r="D10372"/>
      <c r="E10372"/>
      <c r="F10372"/>
      <c r="G10372" s="20"/>
      <c r="H10372"/>
      <c r="I10372"/>
    </row>
    <row r="10373" spans="2:9" ht="15" x14ac:dyDescent="0.25">
      <c r="B10373"/>
      <c r="C10373"/>
      <c r="D10373"/>
      <c r="E10373"/>
      <c r="F10373"/>
      <c r="G10373" s="20"/>
      <c r="H10373"/>
      <c r="I10373"/>
    </row>
    <row r="10374" spans="2:9" ht="15" x14ac:dyDescent="0.25">
      <c r="B10374"/>
      <c r="C10374"/>
      <c r="D10374"/>
      <c r="E10374"/>
      <c r="F10374"/>
      <c r="G10374" s="20"/>
      <c r="H10374"/>
      <c r="I10374"/>
    </row>
    <row r="10375" spans="2:9" ht="15" x14ac:dyDescent="0.25">
      <c r="B10375"/>
      <c r="C10375"/>
      <c r="D10375"/>
      <c r="E10375"/>
      <c r="F10375"/>
      <c r="G10375" s="20"/>
      <c r="H10375"/>
      <c r="I10375"/>
    </row>
    <row r="10376" spans="2:9" ht="15" x14ac:dyDescent="0.25">
      <c r="B10376"/>
      <c r="C10376"/>
      <c r="D10376"/>
      <c r="E10376"/>
      <c r="F10376"/>
      <c r="G10376" s="20"/>
      <c r="H10376"/>
      <c r="I10376"/>
    </row>
    <row r="10377" spans="2:9" ht="15" x14ac:dyDescent="0.25">
      <c r="B10377"/>
      <c r="C10377"/>
      <c r="D10377"/>
      <c r="E10377"/>
      <c r="F10377"/>
      <c r="G10377" s="20"/>
      <c r="H10377"/>
      <c r="I10377"/>
    </row>
    <row r="10378" spans="2:9" ht="15" x14ac:dyDescent="0.25">
      <c r="B10378"/>
      <c r="C10378"/>
      <c r="D10378"/>
      <c r="E10378"/>
      <c r="F10378"/>
      <c r="G10378" s="20"/>
      <c r="H10378"/>
      <c r="I10378"/>
    </row>
    <row r="10379" spans="2:9" ht="15" x14ac:dyDescent="0.25">
      <c r="B10379"/>
      <c r="C10379"/>
      <c r="D10379"/>
      <c r="E10379"/>
      <c r="F10379"/>
      <c r="G10379" s="20"/>
      <c r="H10379"/>
      <c r="I10379"/>
    </row>
    <row r="10380" spans="2:9" ht="15" x14ac:dyDescent="0.25">
      <c r="B10380"/>
      <c r="C10380"/>
      <c r="D10380"/>
      <c r="E10380"/>
      <c r="F10380"/>
      <c r="G10380" s="20"/>
      <c r="H10380"/>
      <c r="I10380"/>
    </row>
    <row r="10381" spans="2:9" ht="15" x14ac:dyDescent="0.25">
      <c r="B10381"/>
      <c r="C10381"/>
      <c r="D10381"/>
      <c r="E10381"/>
      <c r="F10381"/>
      <c r="G10381" s="20"/>
      <c r="H10381"/>
      <c r="I10381"/>
    </row>
    <row r="10382" spans="2:9" ht="15" x14ac:dyDescent="0.25">
      <c r="B10382"/>
      <c r="C10382"/>
      <c r="D10382"/>
      <c r="E10382"/>
      <c r="F10382"/>
      <c r="G10382" s="20"/>
      <c r="H10382"/>
      <c r="I10382"/>
    </row>
    <row r="10383" spans="2:9" ht="15" x14ac:dyDescent="0.25">
      <c r="B10383"/>
      <c r="C10383"/>
      <c r="D10383"/>
      <c r="E10383"/>
      <c r="F10383"/>
      <c r="G10383" s="20"/>
      <c r="H10383"/>
      <c r="I10383"/>
    </row>
    <row r="10384" spans="2:9" ht="15" x14ac:dyDescent="0.25">
      <c r="B10384"/>
      <c r="C10384"/>
      <c r="D10384"/>
      <c r="E10384"/>
      <c r="F10384"/>
      <c r="G10384" s="20"/>
      <c r="H10384"/>
      <c r="I10384"/>
    </row>
    <row r="10385" spans="2:9" ht="15" x14ac:dyDescent="0.25">
      <c r="B10385"/>
      <c r="C10385"/>
      <c r="D10385"/>
      <c r="E10385"/>
      <c r="F10385"/>
      <c r="G10385" s="20"/>
      <c r="H10385"/>
      <c r="I10385"/>
    </row>
    <row r="10386" spans="2:9" ht="15" x14ac:dyDescent="0.25">
      <c r="B10386"/>
      <c r="C10386"/>
      <c r="D10386"/>
      <c r="E10386"/>
      <c r="F10386"/>
      <c r="G10386" s="20"/>
      <c r="H10386"/>
      <c r="I10386"/>
    </row>
    <row r="10387" spans="2:9" ht="15" x14ac:dyDescent="0.25">
      <c r="B10387"/>
      <c r="C10387"/>
      <c r="D10387"/>
      <c r="E10387"/>
      <c r="F10387"/>
      <c r="G10387" s="20"/>
      <c r="H10387"/>
      <c r="I10387"/>
    </row>
    <row r="10388" spans="2:9" ht="15" x14ac:dyDescent="0.25">
      <c r="B10388"/>
      <c r="C10388"/>
      <c r="D10388"/>
      <c r="E10388"/>
      <c r="F10388"/>
      <c r="G10388" s="20"/>
      <c r="H10388"/>
      <c r="I10388"/>
    </row>
    <row r="10389" spans="2:9" ht="15" x14ac:dyDescent="0.25">
      <c r="B10389"/>
      <c r="C10389"/>
      <c r="D10389"/>
      <c r="E10389"/>
      <c r="F10389"/>
      <c r="G10389" s="20"/>
      <c r="H10389"/>
      <c r="I10389"/>
    </row>
    <row r="10390" spans="2:9" ht="15" x14ac:dyDescent="0.25">
      <c r="B10390"/>
      <c r="C10390"/>
      <c r="D10390"/>
      <c r="E10390"/>
      <c r="F10390"/>
      <c r="G10390" s="20"/>
      <c r="H10390"/>
      <c r="I10390"/>
    </row>
    <row r="10391" spans="2:9" ht="15" x14ac:dyDescent="0.25">
      <c r="B10391"/>
      <c r="C10391"/>
      <c r="D10391"/>
      <c r="E10391"/>
      <c r="F10391"/>
      <c r="G10391" s="20"/>
      <c r="H10391"/>
      <c r="I10391"/>
    </row>
    <row r="10392" spans="2:9" ht="15" x14ac:dyDescent="0.25">
      <c r="B10392"/>
      <c r="C10392"/>
      <c r="D10392"/>
      <c r="E10392"/>
      <c r="F10392"/>
      <c r="G10392" s="20"/>
      <c r="H10392"/>
      <c r="I10392"/>
    </row>
    <row r="10393" spans="2:9" ht="15" x14ac:dyDescent="0.25">
      <c r="B10393"/>
      <c r="C10393"/>
      <c r="D10393"/>
      <c r="E10393"/>
      <c r="F10393"/>
      <c r="G10393" s="20"/>
      <c r="H10393"/>
      <c r="I10393"/>
    </row>
    <row r="10394" spans="2:9" ht="15" x14ac:dyDescent="0.25">
      <c r="B10394"/>
      <c r="C10394"/>
      <c r="D10394"/>
      <c r="E10394"/>
      <c r="F10394"/>
      <c r="G10394" s="20"/>
      <c r="H10394"/>
      <c r="I10394"/>
    </row>
    <row r="10395" spans="2:9" ht="15" x14ac:dyDescent="0.25">
      <c r="B10395"/>
      <c r="C10395"/>
      <c r="D10395"/>
      <c r="E10395"/>
      <c r="F10395"/>
      <c r="G10395" s="20"/>
      <c r="H10395"/>
      <c r="I10395"/>
    </row>
    <row r="10396" spans="2:9" ht="15" x14ac:dyDescent="0.25">
      <c r="B10396"/>
      <c r="C10396"/>
      <c r="D10396"/>
      <c r="E10396"/>
      <c r="F10396"/>
      <c r="G10396" s="20"/>
      <c r="H10396"/>
      <c r="I10396"/>
    </row>
    <row r="10397" spans="2:9" ht="15" x14ac:dyDescent="0.25">
      <c r="B10397"/>
      <c r="C10397"/>
      <c r="D10397"/>
      <c r="E10397"/>
      <c r="F10397"/>
      <c r="G10397" s="20"/>
      <c r="H10397"/>
      <c r="I10397"/>
    </row>
    <row r="10398" spans="2:9" ht="15" x14ac:dyDescent="0.25">
      <c r="B10398"/>
      <c r="C10398"/>
      <c r="D10398"/>
      <c r="E10398"/>
      <c r="F10398"/>
      <c r="G10398" s="20"/>
      <c r="H10398"/>
      <c r="I10398"/>
    </row>
    <row r="10399" spans="2:9" ht="15" x14ac:dyDescent="0.25">
      <c r="B10399"/>
      <c r="C10399"/>
      <c r="D10399"/>
      <c r="E10399"/>
      <c r="F10399"/>
      <c r="G10399" s="20"/>
      <c r="H10399"/>
      <c r="I10399"/>
    </row>
    <row r="10400" spans="2:9" ht="15" x14ac:dyDescent="0.25">
      <c r="B10400"/>
      <c r="C10400"/>
      <c r="D10400"/>
      <c r="E10400"/>
      <c r="F10400"/>
      <c r="G10400" s="20"/>
      <c r="H10400"/>
      <c r="I10400"/>
    </row>
    <row r="10401" spans="2:9" ht="15" x14ac:dyDescent="0.25">
      <c r="B10401"/>
      <c r="C10401"/>
      <c r="D10401"/>
      <c r="E10401"/>
      <c r="F10401"/>
      <c r="G10401" s="20"/>
      <c r="H10401"/>
      <c r="I10401"/>
    </row>
    <row r="10402" spans="2:9" ht="15" x14ac:dyDescent="0.25">
      <c r="B10402"/>
      <c r="C10402"/>
      <c r="D10402"/>
      <c r="E10402"/>
      <c r="F10402"/>
      <c r="G10402" s="20"/>
      <c r="H10402"/>
      <c r="I10402"/>
    </row>
    <row r="10403" spans="2:9" ht="15" x14ac:dyDescent="0.25">
      <c r="B10403"/>
      <c r="C10403"/>
      <c r="D10403"/>
      <c r="E10403"/>
      <c r="F10403"/>
      <c r="G10403" s="20"/>
      <c r="H10403"/>
      <c r="I10403"/>
    </row>
    <row r="10404" spans="2:9" ht="15" x14ac:dyDescent="0.25">
      <c r="B10404"/>
      <c r="C10404"/>
      <c r="D10404"/>
      <c r="E10404"/>
      <c r="F10404"/>
      <c r="G10404" s="20"/>
      <c r="H10404"/>
      <c r="I10404"/>
    </row>
    <row r="10405" spans="2:9" ht="15" x14ac:dyDescent="0.25">
      <c r="B10405"/>
      <c r="C10405"/>
      <c r="D10405"/>
      <c r="E10405"/>
      <c r="F10405"/>
      <c r="G10405" s="20"/>
      <c r="H10405"/>
      <c r="I10405"/>
    </row>
    <row r="10406" spans="2:9" ht="15" x14ac:dyDescent="0.25">
      <c r="B10406"/>
      <c r="C10406"/>
      <c r="D10406"/>
      <c r="E10406"/>
      <c r="F10406"/>
      <c r="G10406" s="20"/>
      <c r="H10406"/>
      <c r="I10406"/>
    </row>
    <row r="10407" spans="2:9" ht="15" x14ac:dyDescent="0.25">
      <c r="B10407"/>
      <c r="C10407"/>
      <c r="D10407"/>
      <c r="E10407"/>
      <c r="F10407"/>
      <c r="G10407" s="20"/>
      <c r="H10407"/>
      <c r="I10407"/>
    </row>
    <row r="10408" spans="2:9" ht="15" x14ac:dyDescent="0.25">
      <c r="B10408"/>
      <c r="C10408"/>
      <c r="D10408"/>
      <c r="E10408"/>
      <c r="F10408"/>
      <c r="G10408" s="20"/>
      <c r="H10408"/>
      <c r="I10408"/>
    </row>
    <row r="10409" spans="2:9" ht="15" x14ac:dyDescent="0.25">
      <c r="B10409"/>
      <c r="C10409"/>
      <c r="D10409"/>
      <c r="E10409"/>
      <c r="F10409"/>
      <c r="G10409" s="20"/>
      <c r="H10409"/>
      <c r="I10409"/>
    </row>
    <row r="10410" spans="2:9" ht="15" x14ac:dyDescent="0.25">
      <c r="B10410"/>
      <c r="C10410"/>
      <c r="D10410"/>
      <c r="E10410"/>
      <c r="F10410"/>
      <c r="G10410" s="20"/>
      <c r="H10410"/>
      <c r="I10410"/>
    </row>
    <row r="10411" spans="2:9" ht="15" x14ac:dyDescent="0.25">
      <c r="B10411"/>
      <c r="C10411"/>
      <c r="D10411"/>
      <c r="E10411"/>
      <c r="F10411"/>
      <c r="G10411" s="20"/>
      <c r="H10411"/>
      <c r="I10411"/>
    </row>
    <row r="10412" spans="2:9" ht="15" x14ac:dyDescent="0.25">
      <c r="B10412"/>
      <c r="C10412"/>
      <c r="D10412"/>
      <c r="E10412"/>
      <c r="F10412"/>
      <c r="G10412" s="20"/>
      <c r="H10412"/>
      <c r="I10412"/>
    </row>
    <row r="10413" spans="2:9" ht="15" x14ac:dyDescent="0.25">
      <c r="B10413"/>
      <c r="C10413"/>
      <c r="D10413"/>
      <c r="E10413"/>
      <c r="F10413"/>
      <c r="G10413" s="20"/>
      <c r="H10413"/>
      <c r="I10413"/>
    </row>
    <row r="10414" spans="2:9" ht="15" x14ac:dyDescent="0.25">
      <c r="B10414"/>
      <c r="C10414"/>
      <c r="D10414"/>
      <c r="E10414"/>
      <c r="F10414"/>
      <c r="G10414" s="20"/>
      <c r="H10414"/>
      <c r="I10414"/>
    </row>
    <row r="10415" spans="2:9" ht="15" x14ac:dyDescent="0.25">
      <c r="B10415"/>
      <c r="C10415"/>
      <c r="D10415"/>
      <c r="E10415"/>
      <c r="F10415"/>
      <c r="G10415" s="20"/>
      <c r="H10415"/>
      <c r="I10415"/>
    </row>
    <row r="10416" spans="2:9" ht="15" x14ac:dyDescent="0.25">
      <c r="B10416"/>
      <c r="C10416"/>
      <c r="D10416"/>
      <c r="E10416"/>
      <c r="F10416"/>
      <c r="G10416" s="20"/>
      <c r="H10416"/>
      <c r="I10416"/>
    </row>
    <row r="10417" spans="2:9" ht="15" x14ac:dyDescent="0.25">
      <c r="B10417"/>
      <c r="C10417"/>
      <c r="D10417"/>
      <c r="E10417"/>
      <c r="F10417"/>
      <c r="G10417" s="20"/>
      <c r="H10417"/>
      <c r="I10417"/>
    </row>
    <row r="10418" spans="2:9" ht="15" x14ac:dyDescent="0.25">
      <c r="B10418"/>
      <c r="C10418"/>
      <c r="D10418"/>
      <c r="E10418"/>
      <c r="F10418"/>
      <c r="G10418" s="20"/>
      <c r="H10418"/>
      <c r="I10418"/>
    </row>
    <row r="10419" spans="2:9" ht="15" x14ac:dyDescent="0.25">
      <c r="B10419"/>
      <c r="C10419"/>
      <c r="D10419"/>
      <c r="E10419"/>
      <c r="F10419"/>
      <c r="G10419" s="20"/>
      <c r="H10419"/>
      <c r="I10419"/>
    </row>
    <row r="10420" spans="2:9" ht="15" x14ac:dyDescent="0.25">
      <c r="B10420"/>
      <c r="C10420"/>
      <c r="D10420"/>
      <c r="E10420"/>
      <c r="F10420"/>
      <c r="G10420" s="20"/>
      <c r="H10420"/>
      <c r="I10420"/>
    </row>
    <row r="10421" spans="2:9" ht="15" x14ac:dyDescent="0.25">
      <c r="B10421"/>
      <c r="C10421"/>
      <c r="D10421"/>
      <c r="E10421"/>
      <c r="F10421"/>
      <c r="G10421" s="20"/>
      <c r="H10421"/>
      <c r="I10421"/>
    </row>
    <row r="10422" spans="2:9" ht="15" x14ac:dyDescent="0.25">
      <c r="B10422"/>
      <c r="C10422"/>
      <c r="D10422"/>
      <c r="E10422"/>
      <c r="F10422"/>
      <c r="G10422" s="20"/>
      <c r="H10422"/>
      <c r="I10422"/>
    </row>
    <row r="10423" spans="2:9" ht="15" x14ac:dyDescent="0.25">
      <c r="B10423"/>
      <c r="C10423"/>
      <c r="D10423"/>
      <c r="E10423"/>
      <c r="F10423"/>
      <c r="G10423" s="20"/>
      <c r="H10423"/>
      <c r="I10423"/>
    </row>
    <row r="10424" spans="2:9" ht="15" x14ac:dyDescent="0.25">
      <c r="B10424"/>
      <c r="C10424"/>
      <c r="D10424"/>
      <c r="E10424"/>
      <c r="F10424"/>
      <c r="G10424" s="20"/>
      <c r="H10424"/>
      <c r="I10424"/>
    </row>
    <row r="10425" spans="2:9" ht="15" x14ac:dyDescent="0.25">
      <c r="B10425"/>
      <c r="C10425"/>
      <c r="D10425"/>
      <c r="E10425"/>
      <c r="F10425"/>
      <c r="G10425" s="20"/>
      <c r="H10425"/>
      <c r="I10425"/>
    </row>
    <row r="10426" spans="2:9" ht="15" x14ac:dyDescent="0.25">
      <c r="B10426"/>
      <c r="C10426"/>
      <c r="D10426"/>
      <c r="E10426"/>
      <c r="F10426"/>
      <c r="G10426" s="20"/>
      <c r="H10426"/>
      <c r="I10426"/>
    </row>
    <row r="10427" spans="2:9" ht="15" x14ac:dyDescent="0.25">
      <c r="B10427"/>
      <c r="C10427"/>
      <c r="D10427"/>
      <c r="E10427"/>
      <c r="F10427"/>
      <c r="G10427" s="20"/>
      <c r="H10427"/>
      <c r="I10427"/>
    </row>
    <row r="10428" spans="2:9" ht="15" x14ac:dyDescent="0.25">
      <c r="B10428"/>
      <c r="C10428"/>
      <c r="D10428"/>
      <c r="E10428"/>
      <c r="F10428"/>
      <c r="G10428" s="20"/>
      <c r="H10428"/>
      <c r="I10428"/>
    </row>
    <row r="10429" spans="2:9" ht="15" x14ac:dyDescent="0.25">
      <c r="B10429"/>
      <c r="C10429"/>
      <c r="D10429"/>
      <c r="E10429"/>
      <c r="F10429"/>
      <c r="G10429" s="20"/>
      <c r="H10429"/>
      <c r="I10429"/>
    </row>
    <row r="10430" spans="2:9" ht="15" x14ac:dyDescent="0.25">
      <c r="B10430"/>
      <c r="C10430"/>
      <c r="D10430"/>
      <c r="E10430"/>
      <c r="F10430"/>
      <c r="G10430" s="20"/>
      <c r="H10430"/>
      <c r="I10430"/>
    </row>
    <row r="10431" spans="2:9" ht="15" x14ac:dyDescent="0.25">
      <c r="B10431"/>
      <c r="C10431"/>
      <c r="D10431"/>
      <c r="E10431"/>
      <c r="F10431"/>
      <c r="G10431" s="20"/>
      <c r="H10431"/>
      <c r="I10431"/>
    </row>
    <row r="10432" spans="2:9" ht="15" x14ac:dyDescent="0.25">
      <c r="B10432"/>
      <c r="C10432"/>
      <c r="D10432"/>
      <c r="E10432"/>
      <c r="F10432"/>
      <c r="G10432" s="20"/>
      <c r="H10432"/>
      <c r="I10432"/>
    </row>
    <row r="10433" spans="2:9" ht="15" x14ac:dyDescent="0.25">
      <c r="B10433"/>
      <c r="C10433"/>
      <c r="D10433"/>
      <c r="E10433"/>
      <c r="F10433"/>
      <c r="G10433" s="20"/>
      <c r="H10433"/>
      <c r="I10433"/>
    </row>
    <row r="10434" spans="2:9" ht="15" x14ac:dyDescent="0.25">
      <c r="B10434"/>
      <c r="C10434"/>
      <c r="D10434"/>
      <c r="E10434"/>
      <c r="F10434"/>
      <c r="G10434" s="20"/>
      <c r="H10434"/>
      <c r="I10434"/>
    </row>
    <row r="10435" spans="2:9" ht="15" x14ac:dyDescent="0.25">
      <c r="B10435"/>
      <c r="C10435"/>
      <c r="D10435"/>
      <c r="E10435"/>
      <c r="F10435"/>
      <c r="G10435" s="20"/>
      <c r="H10435"/>
      <c r="I10435"/>
    </row>
    <row r="10436" spans="2:9" ht="15" x14ac:dyDescent="0.25">
      <c r="B10436"/>
      <c r="C10436"/>
      <c r="D10436"/>
      <c r="E10436"/>
      <c r="F10436"/>
      <c r="G10436" s="20"/>
      <c r="H10436"/>
      <c r="I10436"/>
    </row>
    <row r="10437" spans="2:9" ht="15" x14ac:dyDescent="0.25">
      <c r="B10437"/>
      <c r="C10437"/>
      <c r="D10437"/>
      <c r="E10437"/>
      <c r="F10437"/>
      <c r="G10437" s="20"/>
      <c r="H10437"/>
      <c r="I10437"/>
    </row>
    <row r="10438" spans="2:9" ht="15" x14ac:dyDescent="0.25">
      <c r="B10438"/>
      <c r="C10438"/>
      <c r="D10438"/>
      <c r="E10438"/>
      <c r="F10438"/>
      <c r="G10438" s="20"/>
      <c r="H10438"/>
      <c r="I10438"/>
    </row>
    <row r="10439" spans="2:9" ht="15" x14ac:dyDescent="0.25">
      <c r="B10439"/>
      <c r="C10439"/>
      <c r="D10439"/>
      <c r="E10439"/>
      <c r="F10439"/>
      <c r="G10439" s="20"/>
      <c r="H10439"/>
      <c r="I10439"/>
    </row>
    <row r="10440" spans="2:9" ht="15" x14ac:dyDescent="0.25">
      <c r="B10440"/>
      <c r="C10440"/>
      <c r="D10440"/>
      <c r="E10440"/>
      <c r="F10440"/>
      <c r="G10440" s="20"/>
      <c r="H10440"/>
      <c r="I10440"/>
    </row>
    <row r="10441" spans="2:9" ht="15" x14ac:dyDescent="0.25">
      <c r="B10441"/>
      <c r="C10441"/>
      <c r="D10441"/>
      <c r="E10441"/>
      <c r="F10441"/>
      <c r="G10441" s="20"/>
      <c r="H10441"/>
      <c r="I10441"/>
    </row>
    <row r="10442" spans="2:9" ht="15" x14ac:dyDescent="0.25">
      <c r="B10442"/>
      <c r="C10442"/>
      <c r="D10442"/>
      <c r="E10442"/>
      <c r="F10442"/>
      <c r="G10442" s="20"/>
      <c r="H10442"/>
      <c r="I10442"/>
    </row>
    <row r="10443" spans="2:9" ht="15" x14ac:dyDescent="0.25">
      <c r="B10443"/>
      <c r="C10443"/>
      <c r="D10443"/>
      <c r="E10443"/>
      <c r="F10443"/>
      <c r="G10443" s="20"/>
      <c r="H10443"/>
      <c r="I10443"/>
    </row>
    <row r="10444" spans="2:9" ht="15" x14ac:dyDescent="0.25">
      <c r="B10444"/>
      <c r="C10444"/>
      <c r="D10444"/>
      <c r="E10444"/>
      <c r="F10444"/>
      <c r="G10444" s="20"/>
      <c r="H10444"/>
      <c r="I10444"/>
    </row>
    <row r="10445" spans="2:9" ht="15" x14ac:dyDescent="0.25">
      <c r="B10445"/>
      <c r="C10445"/>
      <c r="D10445"/>
      <c r="E10445"/>
      <c r="F10445"/>
      <c r="G10445" s="20"/>
      <c r="H10445"/>
      <c r="I10445"/>
    </row>
    <row r="10446" spans="2:9" ht="15" x14ac:dyDescent="0.25">
      <c r="B10446"/>
      <c r="C10446"/>
      <c r="D10446"/>
      <c r="E10446"/>
      <c r="F10446"/>
      <c r="G10446" s="20"/>
      <c r="H10446"/>
      <c r="I10446"/>
    </row>
    <row r="10447" spans="2:9" ht="15" x14ac:dyDescent="0.25">
      <c r="B10447"/>
      <c r="C10447"/>
      <c r="D10447"/>
      <c r="E10447"/>
      <c r="F10447"/>
      <c r="G10447" s="20"/>
      <c r="H10447"/>
      <c r="I10447"/>
    </row>
    <row r="10448" spans="2:9" ht="15" x14ac:dyDescent="0.25">
      <c r="B10448"/>
      <c r="C10448"/>
      <c r="D10448"/>
      <c r="E10448"/>
      <c r="F10448"/>
      <c r="G10448" s="20"/>
      <c r="H10448"/>
      <c r="I10448"/>
    </row>
    <row r="10449" spans="2:9" ht="15" x14ac:dyDescent="0.25">
      <c r="B10449"/>
      <c r="C10449"/>
      <c r="D10449"/>
      <c r="E10449"/>
      <c r="F10449"/>
      <c r="G10449" s="20"/>
      <c r="H10449"/>
      <c r="I10449"/>
    </row>
    <row r="10450" spans="2:9" ht="15" x14ac:dyDescent="0.25">
      <c r="B10450"/>
      <c r="C10450"/>
      <c r="D10450"/>
      <c r="E10450"/>
      <c r="F10450"/>
      <c r="G10450" s="20"/>
      <c r="H10450"/>
      <c r="I10450"/>
    </row>
    <row r="10451" spans="2:9" ht="15" x14ac:dyDescent="0.25">
      <c r="B10451"/>
      <c r="C10451"/>
      <c r="D10451"/>
      <c r="E10451"/>
      <c r="F10451"/>
      <c r="G10451" s="20"/>
      <c r="H10451"/>
      <c r="I10451"/>
    </row>
    <row r="10452" spans="2:9" ht="15" x14ac:dyDescent="0.25">
      <c r="B10452"/>
      <c r="C10452"/>
      <c r="D10452"/>
      <c r="E10452"/>
      <c r="F10452"/>
      <c r="G10452" s="20"/>
      <c r="H10452"/>
      <c r="I10452"/>
    </row>
    <row r="10453" spans="2:9" ht="15" x14ac:dyDescent="0.25">
      <c r="B10453"/>
      <c r="C10453"/>
      <c r="D10453"/>
      <c r="E10453"/>
      <c r="F10453"/>
      <c r="G10453" s="20"/>
      <c r="H10453"/>
      <c r="I10453"/>
    </row>
    <row r="10454" spans="2:9" ht="15" x14ac:dyDescent="0.25">
      <c r="B10454"/>
      <c r="C10454"/>
      <c r="D10454"/>
      <c r="E10454"/>
      <c r="F10454"/>
      <c r="G10454" s="20"/>
      <c r="H10454"/>
      <c r="I10454"/>
    </row>
    <row r="10455" spans="2:9" ht="15" x14ac:dyDescent="0.25">
      <c r="B10455"/>
      <c r="C10455"/>
      <c r="D10455"/>
      <c r="E10455"/>
      <c r="F10455"/>
      <c r="G10455" s="20"/>
      <c r="H10455"/>
      <c r="I10455"/>
    </row>
    <row r="10456" spans="2:9" ht="15" x14ac:dyDescent="0.25">
      <c r="B10456"/>
      <c r="C10456"/>
      <c r="D10456"/>
      <c r="E10456"/>
      <c r="F10456"/>
      <c r="G10456" s="20"/>
      <c r="H10456"/>
      <c r="I10456"/>
    </row>
    <row r="10457" spans="2:9" ht="15" x14ac:dyDescent="0.25">
      <c r="B10457"/>
      <c r="C10457"/>
      <c r="D10457"/>
      <c r="E10457"/>
      <c r="F10457"/>
      <c r="G10457" s="20"/>
      <c r="H10457"/>
      <c r="I10457"/>
    </row>
    <row r="10458" spans="2:9" ht="15" x14ac:dyDescent="0.25">
      <c r="B10458"/>
      <c r="C10458"/>
      <c r="D10458"/>
      <c r="E10458"/>
      <c r="F10458"/>
      <c r="G10458" s="20"/>
      <c r="H10458"/>
      <c r="I10458"/>
    </row>
    <row r="10459" spans="2:9" ht="15" x14ac:dyDescent="0.25">
      <c r="B10459"/>
      <c r="C10459"/>
      <c r="D10459"/>
      <c r="E10459"/>
      <c r="F10459"/>
      <c r="G10459" s="20"/>
      <c r="H10459"/>
      <c r="I10459"/>
    </row>
    <row r="10460" spans="2:9" ht="15" x14ac:dyDescent="0.25">
      <c r="B10460"/>
      <c r="C10460"/>
      <c r="D10460"/>
      <c r="E10460"/>
      <c r="F10460"/>
      <c r="G10460" s="20"/>
      <c r="H10460"/>
      <c r="I10460"/>
    </row>
    <row r="10461" spans="2:9" ht="15" x14ac:dyDescent="0.25">
      <c r="B10461"/>
      <c r="C10461"/>
      <c r="D10461"/>
      <c r="E10461"/>
      <c r="F10461"/>
      <c r="G10461" s="20"/>
      <c r="H10461"/>
      <c r="I10461"/>
    </row>
    <row r="10462" spans="2:9" ht="15" x14ac:dyDescent="0.25">
      <c r="B10462"/>
      <c r="C10462"/>
      <c r="D10462"/>
      <c r="E10462"/>
      <c r="F10462"/>
      <c r="G10462" s="20"/>
      <c r="H10462"/>
      <c r="I10462"/>
    </row>
    <row r="10463" spans="2:9" ht="15" x14ac:dyDescent="0.25">
      <c r="B10463"/>
      <c r="C10463"/>
      <c r="D10463"/>
      <c r="E10463"/>
      <c r="F10463"/>
      <c r="G10463" s="20"/>
      <c r="H10463"/>
      <c r="I10463"/>
    </row>
    <row r="10464" spans="2:9" ht="15" x14ac:dyDescent="0.25">
      <c r="B10464"/>
      <c r="C10464"/>
      <c r="D10464"/>
      <c r="E10464"/>
      <c r="F10464"/>
      <c r="G10464" s="20"/>
      <c r="H10464"/>
      <c r="I10464"/>
    </row>
    <row r="10465" spans="2:9" ht="15" x14ac:dyDescent="0.25">
      <c r="B10465"/>
      <c r="C10465"/>
      <c r="D10465"/>
      <c r="E10465"/>
      <c r="F10465"/>
      <c r="G10465" s="20"/>
      <c r="H10465"/>
      <c r="I10465"/>
    </row>
    <row r="10466" spans="2:9" ht="15" x14ac:dyDescent="0.25">
      <c r="B10466"/>
      <c r="C10466"/>
      <c r="D10466"/>
      <c r="E10466"/>
      <c r="F10466"/>
      <c r="G10466" s="20"/>
      <c r="H10466"/>
      <c r="I10466"/>
    </row>
    <row r="10467" spans="2:9" ht="15" x14ac:dyDescent="0.25">
      <c r="B10467"/>
      <c r="C10467"/>
      <c r="D10467"/>
      <c r="E10467"/>
      <c r="F10467"/>
      <c r="G10467" s="20"/>
      <c r="H10467"/>
      <c r="I10467"/>
    </row>
    <row r="10468" spans="2:9" ht="15" x14ac:dyDescent="0.25">
      <c r="B10468"/>
      <c r="C10468"/>
      <c r="D10468"/>
      <c r="E10468"/>
      <c r="F10468"/>
      <c r="G10468" s="20"/>
      <c r="H10468"/>
      <c r="I10468"/>
    </row>
    <row r="10469" spans="2:9" ht="15" x14ac:dyDescent="0.25">
      <c r="B10469"/>
      <c r="C10469"/>
      <c r="D10469"/>
      <c r="E10469"/>
      <c r="F10469"/>
      <c r="G10469" s="20"/>
      <c r="H10469"/>
      <c r="I10469"/>
    </row>
    <row r="10470" spans="2:9" ht="15" x14ac:dyDescent="0.25">
      <c r="B10470"/>
      <c r="C10470"/>
      <c r="D10470"/>
      <c r="E10470"/>
      <c r="F10470"/>
      <c r="G10470" s="20"/>
      <c r="H10470"/>
      <c r="I10470"/>
    </row>
    <row r="10471" spans="2:9" ht="15" x14ac:dyDescent="0.25">
      <c r="B10471"/>
      <c r="C10471"/>
      <c r="D10471"/>
      <c r="E10471"/>
      <c r="F10471"/>
      <c r="G10471" s="20"/>
      <c r="H10471"/>
      <c r="I10471"/>
    </row>
    <row r="10472" spans="2:9" ht="15" x14ac:dyDescent="0.25">
      <c r="B10472"/>
      <c r="C10472"/>
      <c r="D10472"/>
      <c r="E10472"/>
      <c r="F10472"/>
      <c r="G10472" s="20"/>
      <c r="H10472"/>
      <c r="I10472"/>
    </row>
    <row r="10473" spans="2:9" ht="15" x14ac:dyDescent="0.25">
      <c r="B10473"/>
      <c r="C10473"/>
      <c r="D10473"/>
      <c r="E10473"/>
      <c r="F10473"/>
      <c r="G10473" s="20"/>
      <c r="H10473"/>
      <c r="I10473"/>
    </row>
    <row r="10474" spans="2:9" ht="15" x14ac:dyDescent="0.25">
      <c r="B10474"/>
      <c r="C10474"/>
      <c r="D10474"/>
      <c r="E10474"/>
      <c r="F10474"/>
      <c r="G10474" s="20"/>
      <c r="H10474"/>
      <c r="I10474"/>
    </row>
    <row r="10475" spans="2:9" ht="15" x14ac:dyDescent="0.25">
      <c r="B10475"/>
      <c r="C10475"/>
      <c r="D10475"/>
      <c r="E10475"/>
      <c r="F10475"/>
      <c r="G10475" s="20"/>
      <c r="H10475"/>
      <c r="I10475"/>
    </row>
    <row r="10476" spans="2:9" ht="15" x14ac:dyDescent="0.25">
      <c r="B10476"/>
      <c r="C10476"/>
      <c r="D10476"/>
      <c r="E10476"/>
      <c r="F10476"/>
      <c r="G10476" s="20"/>
      <c r="H10476"/>
      <c r="I10476"/>
    </row>
    <row r="10477" spans="2:9" ht="15" x14ac:dyDescent="0.25">
      <c r="B10477"/>
      <c r="C10477"/>
      <c r="D10477"/>
      <c r="E10477"/>
      <c r="F10477"/>
      <c r="G10477" s="20"/>
      <c r="H10477"/>
      <c r="I10477"/>
    </row>
    <row r="10478" spans="2:9" ht="15" x14ac:dyDescent="0.25">
      <c r="B10478"/>
      <c r="C10478"/>
      <c r="D10478"/>
      <c r="E10478"/>
      <c r="F10478"/>
      <c r="G10478" s="20"/>
      <c r="H10478"/>
      <c r="I10478"/>
    </row>
    <row r="10479" spans="2:9" ht="15" x14ac:dyDescent="0.25">
      <c r="B10479"/>
      <c r="C10479"/>
      <c r="D10479"/>
      <c r="E10479"/>
      <c r="F10479"/>
      <c r="G10479" s="20"/>
      <c r="H10479"/>
      <c r="I10479"/>
    </row>
    <row r="10480" spans="2:9" ht="15" x14ac:dyDescent="0.25">
      <c r="B10480"/>
      <c r="C10480"/>
      <c r="D10480"/>
      <c r="E10480"/>
      <c r="F10480"/>
      <c r="G10480" s="20"/>
      <c r="H10480"/>
      <c r="I10480"/>
    </row>
    <row r="10481" spans="2:9" ht="15" x14ac:dyDescent="0.25">
      <c r="B10481"/>
      <c r="C10481"/>
      <c r="D10481"/>
      <c r="E10481"/>
      <c r="F10481"/>
      <c r="G10481" s="20"/>
      <c r="H10481"/>
      <c r="I10481"/>
    </row>
    <row r="10482" spans="2:9" ht="15" x14ac:dyDescent="0.25">
      <c r="B10482"/>
      <c r="C10482"/>
      <c r="D10482"/>
      <c r="E10482"/>
      <c r="F10482"/>
      <c r="G10482" s="20"/>
      <c r="H10482"/>
      <c r="I10482"/>
    </row>
    <row r="10483" spans="2:9" ht="15" x14ac:dyDescent="0.25">
      <c r="B10483"/>
      <c r="C10483"/>
      <c r="D10483"/>
      <c r="E10483"/>
      <c r="F10483"/>
      <c r="G10483" s="20"/>
      <c r="H10483"/>
      <c r="I10483"/>
    </row>
    <row r="10484" spans="2:9" ht="15" x14ac:dyDescent="0.25">
      <c r="B10484"/>
      <c r="C10484"/>
      <c r="D10484"/>
      <c r="E10484"/>
      <c r="F10484"/>
      <c r="G10484" s="20"/>
      <c r="H10484"/>
      <c r="I10484"/>
    </row>
    <row r="10485" spans="2:9" ht="15" x14ac:dyDescent="0.25">
      <c r="B10485"/>
      <c r="C10485"/>
      <c r="D10485"/>
      <c r="E10485"/>
      <c r="F10485"/>
      <c r="G10485" s="20"/>
      <c r="H10485"/>
      <c r="I10485"/>
    </row>
    <row r="10486" spans="2:9" ht="15" x14ac:dyDescent="0.25">
      <c r="B10486"/>
      <c r="C10486"/>
      <c r="D10486"/>
      <c r="E10486"/>
      <c r="F10486"/>
      <c r="G10486" s="20"/>
      <c r="H10486"/>
      <c r="I10486"/>
    </row>
    <row r="10487" spans="2:9" ht="15" x14ac:dyDescent="0.25">
      <c r="B10487"/>
      <c r="C10487"/>
      <c r="D10487"/>
      <c r="E10487"/>
      <c r="F10487"/>
      <c r="G10487" s="20"/>
      <c r="H10487"/>
      <c r="I10487"/>
    </row>
    <row r="10488" spans="2:9" ht="15" x14ac:dyDescent="0.25">
      <c r="B10488"/>
      <c r="C10488"/>
      <c r="D10488"/>
      <c r="E10488"/>
      <c r="F10488"/>
      <c r="G10488" s="20"/>
      <c r="H10488"/>
      <c r="I10488"/>
    </row>
    <row r="10489" spans="2:9" ht="15" x14ac:dyDescent="0.25">
      <c r="B10489"/>
      <c r="C10489"/>
      <c r="D10489"/>
      <c r="E10489"/>
      <c r="F10489"/>
      <c r="G10489" s="20"/>
      <c r="H10489"/>
      <c r="I10489"/>
    </row>
    <row r="10490" spans="2:9" ht="15" x14ac:dyDescent="0.25">
      <c r="B10490"/>
      <c r="C10490"/>
      <c r="D10490"/>
      <c r="E10490"/>
      <c r="F10490"/>
      <c r="G10490" s="20"/>
      <c r="H10490"/>
      <c r="I10490"/>
    </row>
    <row r="10491" spans="2:9" ht="15" x14ac:dyDescent="0.25">
      <c r="B10491"/>
      <c r="C10491"/>
      <c r="D10491"/>
      <c r="E10491"/>
      <c r="F10491"/>
      <c r="G10491" s="20"/>
      <c r="H10491"/>
      <c r="I10491"/>
    </row>
    <row r="10492" spans="2:9" ht="15" x14ac:dyDescent="0.25">
      <c r="B10492"/>
      <c r="C10492"/>
      <c r="D10492"/>
      <c r="E10492"/>
      <c r="F10492"/>
      <c r="G10492" s="20"/>
      <c r="H10492"/>
      <c r="I10492"/>
    </row>
    <row r="10493" spans="2:9" ht="15" x14ac:dyDescent="0.25">
      <c r="B10493"/>
      <c r="C10493"/>
      <c r="D10493"/>
      <c r="E10493"/>
      <c r="F10493"/>
      <c r="G10493" s="20"/>
      <c r="H10493"/>
      <c r="I10493"/>
    </row>
    <row r="10494" spans="2:9" ht="15" x14ac:dyDescent="0.25">
      <c r="B10494"/>
      <c r="C10494"/>
      <c r="D10494"/>
      <c r="E10494"/>
      <c r="F10494"/>
      <c r="G10494" s="20"/>
      <c r="H10494"/>
      <c r="I10494"/>
    </row>
    <row r="10495" spans="2:9" ht="15" x14ac:dyDescent="0.25">
      <c r="B10495"/>
      <c r="C10495"/>
      <c r="D10495"/>
      <c r="E10495"/>
      <c r="F10495"/>
      <c r="G10495" s="20"/>
      <c r="H10495"/>
      <c r="I10495"/>
    </row>
    <row r="10496" spans="2:9" ht="15" x14ac:dyDescent="0.25">
      <c r="B10496"/>
      <c r="C10496"/>
      <c r="D10496"/>
      <c r="E10496"/>
      <c r="F10496"/>
      <c r="G10496" s="20"/>
      <c r="H10496"/>
      <c r="I10496"/>
    </row>
    <row r="10497" spans="2:9" ht="15" x14ac:dyDescent="0.25">
      <c r="B10497"/>
      <c r="C10497"/>
      <c r="D10497"/>
      <c r="E10497"/>
      <c r="F10497"/>
      <c r="G10497" s="20"/>
      <c r="H10497"/>
      <c r="I10497"/>
    </row>
    <row r="10498" spans="2:9" ht="15" x14ac:dyDescent="0.25">
      <c r="B10498"/>
      <c r="C10498"/>
      <c r="D10498"/>
      <c r="E10498"/>
      <c r="F10498"/>
      <c r="G10498" s="20"/>
      <c r="H10498"/>
      <c r="I10498"/>
    </row>
    <row r="10499" spans="2:9" ht="15" x14ac:dyDescent="0.25">
      <c r="B10499"/>
      <c r="C10499"/>
      <c r="D10499"/>
      <c r="E10499"/>
      <c r="F10499"/>
      <c r="G10499" s="20"/>
      <c r="H10499"/>
      <c r="I10499"/>
    </row>
    <row r="10500" spans="2:9" ht="15" x14ac:dyDescent="0.25">
      <c r="B10500"/>
      <c r="C10500"/>
      <c r="D10500"/>
      <c r="E10500"/>
      <c r="F10500"/>
      <c r="G10500" s="20"/>
      <c r="H10500"/>
      <c r="I10500"/>
    </row>
    <row r="10501" spans="2:9" ht="15" x14ac:dyDescent="0.25">
      <c r="B10501"/>
      <c r="C10501"/>
      <c r="D10501"/>
      <c r="E10501"/>
      <c r="F10501"/>
      <c r="G10501" s="20"/>
      <c r="H10501"/>
      <c r="I10501"/>
    </row>
    <row r="10502" spans="2:9" ht="15" x14ac:dyDescent="0.25">
      <c r="B10502"/>
      <c r="C10502"/>
      <c r="D10502"/>
      <c r="E10502"/>
      <c r="F10502"/>
      <c r="G10502" s="20"/>
      <c r="H10502"/>
      <c r="I10502"/>
    </row>
    <row r="10503" spans="2:9" ht="15" x14ac:dyDescent="0.25">
      <c r="B10503"/>
      <c r="C10503"/>
      <c r="D10503"/>
      <c r="E10503"/>
      <c r="F10503"/>
      <c r="G10503" s="20"/>
      <c r="H10503"/>
      <c r="I10503"/>
    </row>
    <row r="10504" spans="2:9" ht="15" x14ac:dyDescent="0.25">
      <c r="B10504"/>
      <c r="C10504"/>
      <c r="D10504"/>
      <c r="E10504"/>
      <c r="F10504"/>
      <c r="G10504" s="20"/>
      <c r="H10504"/>
      <c r="I10504"/>
    </row>
    <row r="10505" spans="2:9" ht="15" x14ac:dyDescent="0.25">
      <c r="B10505"/>
      <c r="C10505"/>
      <c r="D10505"/>
      <c r="E10505"/>
      <c r="F10505"/>
      <c r="G10505" s="20"/>
      <c r="H10505"/>
      <c r="I10505"/>
    </row>
    <row r="10506" spans="2:9" ht="15" x14ac:dyDescent="0.25">
      <c r="B10506"/>
      <c r="C10506"/>
      <c r="D10506"/>
      <c r="E10506"/>
      <c r="F10506"/>
      <c r="G10506" s="20"/>
      <c r="H10506"/>
      <c r="I10506"/>
    </row>
    <row r="10507" spans="2:9" ht="15" x14ac:dyDescent="0.25">
      <c r="B10507"/>
      <c r="C10507"/>
      <c r="D10507"/>
      <c r="E10507"/>
      <c r="F10507"/>
      <c r="G10507" s="20"/>
      <c r="H10507"/>
      <c r="I10507"/>
    </row>
    <row r="10508" spans="2:9" ht="15" x14ac:dyDescent="0.25">
      <c r="B10508"/>
      <c r="C10508"/>
      <c r="D10508"/>
      <c r="E10508"/>
      <c r="F10508"/>
      <c r="G10508" s="20"/>
      <c r="H10508"/>
      <c r="I10508"/>
    </row>
    <row r="10509" spans="2:9" ht="15" x14ac:dyDescent="0.25">
      <c r="B10509"/>
      <c r="C10509"/>
      <c r="D10509"/>
      <c r="E10509"/>
      <c r="F10509"/>
      <c r="G10509" s="20"/>
      <c r="H10509"/>
      <c r="I10509"/>
    </row>
    <row r="10510" spans="2:9" ht="15" x14ac:dyDescent="0.25">
      <c r="B10510"/>
      <c r="C10510"/>
      <c r="D10510"/>
      <c r="E10510"/>
      <c r="F10510"/>
      <c r="G10510" s="20"/>
      <c r="H10510"/>
      <c r="I10510"/>
    </row>
    <row r="10511" spans="2:9" ht="15" x14ac:dyDescent="0.25">
      <c r="B10511"/>
      <c r="C10511"/>
      <c r="D10511"/>
      <c r="E10511"/>
      <c r="F10511"/>
      <c r="G10511" s="20"/>
      <c r="H10511"/>
      <c r="I10511"/>
    </row>
    <row r="10512" spans="2:9" ht="15" x14ac:dyDescent="0.25">
      <c r="B10512"/>
      <c r="C10512"/>
      <c r="D10512"/>
      <c r="E10512"/>
      <c r="F10512"/>
      <c r="G10512" s="20"/>
      <c r="H10512"/>
      <c r="I10512"/>
    </row>
    <row r="10513" spans="2:9" ht="15" x14ac:dyDescent="0.25">
      <c r="B10513"/>
      <c r="C10513"/>
      <c r="D10513"/>
      <c r="E10513"/>
      <c r="F10513"/>
      <c r="G10513" s="20"/>
      <c r="H10513"/>
      <c r="I10513"/>
    </row>
    <row r="10514" spans="2:9" ht="15" x14ac:dyDescent="0.25">
      <c r="B10514"/>
      <c r="C10514"/>
      <c r="D10514"/>
      <c r="E10514"/>
      <c r="F10514"/>
      <c r="G10514" s="20"/>
      <c r="H10514"/>
      <c r="I10514"/>
    </row>
    <row r="10515" spans="2:9" ht="15" x14ac:dyDescent="0.25">
      <c r="B10515"/>
      <c r="C10515"/>
      <c r="D10515"/>
      <c r="E10515"/>
      <c r="F10515"/>
      <c r="G10515" s="20"/>
      <c r="H10515"/>
      <c r="I10515"/>
    </row>
    <row r="10516" spans="2:9" ht="15" x14ac:dyDescent="0.25">
      <c r="B10516"/>
      <c r="C10516"/>
      <c r="D10516"/>
      <c r="E10516"/>
      <c r="F10516"/>
      <c r="G10516" s="20"/>
      <c r="H10516"/>
      <c r="I10516"/>
    </row>
    <row r="10517" spans="2:9" ht="15" x14ac:dyDescent="0.25">
      <c r="B10517"/>
      <c r="C10517"/>
      <c r="D10517"/>
      <c r="E10517"/>
      <c r="F10517"/>
      <c r="G10517" s="20"/>
      <c r="H10517"/>
      <c r="I10517"/>
    </row>
    <row r="10518" spans="2:9" ht="15" x14ac:dyDescent="0.25">
      <c r="B10518"/>
      <c r="C10518"/>
      <c r="D10518"/>
      <c r="E10518"/>
      <c r="F10518"/>
      <c r="G10518" s="20"/>
      <c r="H10518"/>
      <c r="I10518"/>
    </row>
    <row r="10519" spans="2:9" ht="15" x14ac:dyDescent="0.25">
      <c r="B10519"/>
      <c r="C10519"/>
      <c r="D10519"/>
      <c r="E10519"/>
      <c r="F10519"/>
      <c r="G10519" s="20"/>
      <c r="H10519"/>
      <c r="I10519"/>
    </row>
    <row r="10520" spans="2:9" ht="15" x14ac:dyDescent="0.25">
      <c r="B10520"/>
      <c r="C10520"/>
      <c r="D10520"/>
      <c r="E10520"/>
      <c r="F10520"/>
      <c r="G10520" s="20"/>
      <c r="H10520"/>
      <c r="I10520"/>
    </row>
    <row r="10521" spans="2:9" ht="15" x14ac:dyDescent="0.25">
      <c r="B10521"/>
      <c r="C10521"/>
      <c r="D10521"/>
      <c r="E10521"/>
      <c r="F10521"/>
      <c r="G10521" s="20"/>
      <c r="H10521"/>
      <c r="I10521"/>
    </row>
    <row r="10522" spans="2:9" ht="15" x14ac:dyDescent="0.25">
      <c r="B10522"/>
      <c r="C10522"/>
      <c r="D10522"/>
      <c r="E10522"/>
      <c r="F10522"/>
      <c r="G10522" s="20"/>
      <c r="H10522"/>
      <c r="I10522"/>
    </row>
    <row r="10523" spans="2:9" ht="15" x14ac:dyDescent="0.25">
      <c r="B10523"/>
      <c r="C10523"/>
      <c r="D10523"/>
      <c r="E10523"/>
      <c r="F10523"/>
      <c r="G10523" s="20"/>
      <c r="H10523"/>
      <c r="I10523"/>
    </row>
    <row r="10524" spans="2:9" ht="15" x14ac:dyDescent="0.25">
      <c r="B10524"/>
      <c r="C10524"/>
      <c r="D10524"/>
      <c r="E10524"/>
      <c r="F10524"/>
      <c r="G10524" s="20"/>
      <c r="H10524"/>
      <c r="I10524"/>
    </row>
    <row r="10525" spans="2:9" ht="15" x14ac:dyDescent="0.25">
      <c r="B10525"/>
      <c r="C10525"/>
      <c r="D10525"/>
      <c r="E10525"/>
      <c r="F10525"/>
      <c r="G10525" s="20"/>
      <c r="H10525"/>
      <c r="I10525"/>
    </row>
    <row r="10526" spans="2:9" ht="15" x14ac:dyDescent="0.25">
      <c r="B10526"/>
      <c r="C10526"/>
      <c r="D10526"/>
      <c r="E10526"/>
      <c r="F10526"/>
      <c r="G10526" s="20"/>
      <c r="H10526"/>
      <c r="I10526"/>
    </row>
    <row r="10527" spans="2:9" ht="15" x14ac:dyDescent="0.25">
      <c r="B10527"/>
      <c r="C10527"/>
      <c r="D10527"/>
      <c r="E10527"/>
      <c r="F10527"/>
      <c r="G10527" s="20"/>
      <c r="H10527"/>
      <c r="I10527"/>
    </row>
    <row r="10528" spans="2:9" ht="15" x14ac:dyDescent="0.25">
      <c r="B10528"/>
      <c r="C10528"/>
      <c r="D10528"/>
      <c r="E10528"/>
      <c r="F10528"/>
      <c r="G10528" s="20"/>
      <c r="H10528"/>
      <c r="I10528"/>
    </row>
    <row r="10529" spans="2:9" ht="15" x14ac:dyDescent="0.25">
      <c r="B10529"/>
      <c r="C10529"/>
      <c r="D10529"/>
      <c r="E10529"/>
      <c r="F10529"/>
      <c r="G10529" s="20"/>
      <c r="H10529"/>
      <c r="I10529"/>
    </row>
    <row r="10530" spans="2:9" ht="15" x14ac:dyDescent="0.25">
      <c r="B10530"/>
      <c r="C10530"/>
      <c r="D10530"/>
      <c r="E10530"/>
      <c r="F10530"/>
      <c r="G10530" s="20"/>
      <c r="H10530"/>
      <c r="I10530"/>
    </row>
    <row r="10531" spans="2:9" ht="15" x14ac:dyDescent="0.25">
      <c r="B10531"/>
      <c r="C10531"/>
      <c r="D10531"/>
      <c r="E10531"/>
      <c r="F10531"/>
      <c r="G10531" s="20"/>
      <c r="H10531"/>
      <c r="I10531"/>
    </row>
    <row r="10532" spans="2:9" ht="15" x14ac:dyDescent="0.25">
      <c r="B10532"/>
      <c r="C10532"/>
      <c r="D10532"/>
      <c r="E10532"/>
      <c r="F10532"/>
      <c r="G10532" s="20"/>
      <c r="H10532"/>
      <c r="I10532"/>
    </row>
    <row r="10533" spans="2:9" ht="15" x14ac:dyDescent="0.25">
      <c r="B10533"/>
      <c r="C10533"/>
      <c r="D10533"/>
      <c r="E10533"/>
      <c r="F10533"/>
      <c r="G10533" s="20"/>
      <c r="H10533"/>
      <c r="I10533"/>
    </row>
    <row r="10534" spans="2:9" ht="15" x14ac:dyDescent="0.25">
      <c r="B10534"/>
      <c r="C10534"/>
      <c r="D10534"/>
      <c r="E10534"/>
      <c r="F10534"/>
      <c r="G10534" s="20"/>
      <c r="H10534"/>
      <c r="I10534"/>
    </row>
    <row r="10535" spans="2:9" ht="15" x14ac:dyDescent="0.25">
      <c r="B10535"/>
      <c r="C10535"/>
      <c r="D10535"/>
      <c r="E10535"/>
      <c r="F10535"/>
      <c r="G10535" s="20"/>
      <c r="H10535"/>
      <c r="I10535"/>
    </row>
    <row r="10536" spans="2:9" ht="15" x14ac:dyDescent="0.25">
      <c r="B10536"/>
      <c r="C10536"/>
      <c r="D10536"/>
      <c r="E10536"/>
      <c r="F10536"/>
      <c r="G10536" s="20"/>
      <c r="H10536"/>
      <c r="I10536"/>
    </row>
    <row r="10537" spans="2:9" ht="15" x14ac:dyDescent="0.25">
      <c r="B10537"/>
      <c r="C10537"/>
      <c r="D10537"/>
      <c r="E10537"/>
      <c r="F10537"/>
      <c r="G10537" s="20"/>
      <c r="H10537"/>
      <c r="I10537"/>
    </row>
    <row r="10538" spans="2:9" ht="15" x14ac:dyDescent="0.25">
      <c r="B10538"/>
      <c r="C10538"/>
      <c r="D10538"/>
      <c r="E10538"/>
      <c r="F10538"/>
      <c r="G10538" s="20"/>
      <c r="H10538"/>
      <c r="I10538"/>
    </row>
    <row r="10539" spans="2:9" ht="15" x14ac:dyDescent="0.25">
      <c r="B10539"/>
      <c r="C10539"/>
      <c r="D10539"/>
      <c r="E10539"/>
      <c r="F10539"/>
      <c r="G10539" s="20"/>
      <c r="H10539"/>
      <c r="I10539"/>
    </row>
    <row r="10540" spans="2:9" ht="15" x14ac:dyDescent="0.25">
      <c r="B10540"/>
      <c r="C10540"/>
      <c r="D10540"/>
      <c r="E10540"/>
      <c r="F10540"/>
      <c r="G10540" s="20"/>
      <c r="H10540"/>
      <c r="I10540"/>
    </row>
    <row r="10541" spans="2:9" ht="15" x14ac:dyDescent="0.25">
      <c r="B10541"/>
      <c r="C10541"/>
      <c r="D10541"/>
      <c r="E10541"/>
      <c r="F10541"/>
      <c r="G10541" s="20"/>
      <c r="H10541"/>
      <c r="I10541"/>
    </row>
    <row r="10542" spans="2:9" ht="15" x14ac:dyDescent="0.25">
      <c r="B10542"/>
      <c r="C10542"/>
      <c r="D10542"/>
      <c r="E10542"/>
      <c r="F10542"/>
      <c r="G10542" s="20"/>
      <c r="H10542"/>
      <c r="I10542"/>
    </row>
    <row r="10543" spans="2:9" ht="15" x14ac:dyDescent="0.25">
      <c r="B10543"/>
      <c r="C10543"/>
      <c r="D10543"/>
      <c r="E10543"/>
      <c r="F10543"/>
      <c r="G10543" s="20"/>
      <c r="H10543"/>
      <c r="I10543"/>
    </row>
    <row r="10544" spans="2:9" ht="15" x14ac:dyDescent="0.25">
      <c r="B10544"/>
      <c r="C10544"/>
      <c r="D10544"/>
      <c r="E10544"/>
      <c r="F10544"/>
      <c r="G10544" s="20"/>
      <c r="H10544"/>
      <c r="I10544"/>
    </row>
    <row r="10545" spans="2:9" ht="15" x14ac:dyDescent="0.25">
      <c r="B10545"/>
      <c r="C10545"/>
      <c r="D10545"/>
      <c r="E10545"/>
      <c r="F10545"/>
      <c r="G10545" s="20"/>
      <c r="H10545"/>
      <c r="I10545"/>
    </row>
    <row r="10546" spans="2:9" ht="15" x14ac:dyDescent="0.25">
      <c r="B10546"/>
      <c r="C10546"/>
      <c r="D10546"/>
      <c r="E10546"/>
      <c r="F10546"/>
      <c r="G10546" s="20"/>
      <c r="H10546"/>
      <c r="I10546"/>
    </row>
    <row r="10547" spans="2:9" ht="15" x14ac:dyDescent="0.25">
      <c r="B10547"/>
      <c r="C10547"/>
      <c r="D10547"/>
      <c r="E10547"/>
      <c r="F10547"/>
      <c r="G10547" s="20"/>
      <c r="H10547"/>
      <c r="I10547"/>
    </row>
    <row r="10548" spans="2:9" ht="15" x14ac:dyDescent="0.25">
      <c r="B10548"/>
      <c r="C10548"/>
      <c r="D10548"/>
      <c r="E10548"/>
      <c r="F10548"/>
      <c r="G10548" s="20"/>
      <c r="H10548"/>
      <c r="I10548"/>
    </row>
    <row r="10549" spans="2:9" ht="15" x14ac:dyDescent="0.25">
      <c r="B10549"/>
      <c r="C10549"/>
      <c r="D10549"/>
      <c r="E10549"/>
      <c r="F10549"/>
      <c r="G10549" s="20"/>
      <c r="H10549"/>
      <c r="I10549"/>
    </row>
    <row r="10550" spans="2:9" ht="15" x14ac:dyDescent="0.25">
      <c r="B10550"/>
      <c r="C10550"/>
      <c r="D10550"/>
      <c r="E10550"/>
      <c r="F10550"/>
      <c r="G10550" s="20"/>
      <c r="H10550"/>
      <c r="I10550"/>
    </row>
    <row r="10551" spans="2:9" ht="15" x14ac:dyDescent="0.25">
      <c r="B10551"/>
      <c r="C10551"/>
      <c r="D10551"/>
      <c r="E10551"/>
      <c r="F10551"/>
      <c r="G10551" s="20"/>
      <c r="H10551"/>
      <c r="I10551"/>
    </row>
    <row r="10552" spans="2:9" ht="15" x14ac:dyDescent="0.25">
      <c r="B10552"/>
      <c r="C10552"/>
      <c r="D10552"/>
      <c r="E10552"/>
      <c r="F10552"/>
      <c r="G10552" s="20"/>
      <c r="H10552"/>
      <c r="I10552"/>
    </row>
    <row r="10553" spans="2:9" ht="15" x14ac:dyDescent="0.25">
      <c r="B10553"/>
      <c r="C10553"/>
      <c r="D10553"/>
      <c r="E10553"/>
      <c r="F10553"/>
      <c r="G10553" s="20"/>
      <c r="H10553"/>
      <c r="I10553"/>
    </row>
    <row r="10554" spans="2:9" ht="15" x14ac:dyDescent="0.25">
      <c r="B10554"/>
      <c r="C10554"/>
      <c r="D10554"/>
      <c r="E10554"/>
      <c r="F10554"/>
      <c r="G10554" s="20"/>
      <c r="H10554"/>
      <c r="I10554"/>
    </row>
    <row r="10555" spans="2:9" ht="15" x14ac:dyDescent="0.25">
      <c r="B10555"/>
      <c r="C10555"/>
      <c r="D10555"/>
      <c r="E10555"/>
      <c r="F10555"/>
      <c r="G10555" s="20"/>
      <c r="H10555"/>
      <c r="I10555"/>
    </row>
    <row r="10556" spans="2:9" ht="15" x14ac:dyDescent="0.25">
      <c r="B10556"/>
      <c r="C10556"/>
      <c r="D10556"/>
      <c r="E10556"/>
      <c r="F10556"/>
      <c r="G10556" s="20"/>
      <c r="H10556"/>
      <c r="I10556"/>
    </row>
    <row r="10557" spans="2:9" ht="15" x14ac:dyDescent="0.25">
      <c r="B10557"/>
      <c r="C10557"/>
      <c r="D10557"/>
      <c r="E10557"/>
      <c r="F10557"/>
      <c r="G10557" s="20"/>
      <c r="H10557"/>
      <c r="I10557"/>
    </row>
    <row r="10558" spans="2:9" ht="15" x14ac:dyDescent="0.25">
      <c r="B10558"/>
      <c r="C10558"/>
      <c r="D10558"/>
      <c r="E10558"/>
      <c r="F10558"/>
      <c r="G10558" s="20"/>
      <c r="H10558"/>
      <c r="I10558"/>
    </row>
    <row r="10559" spans="2:9" ht="15" x14ac:dyDescent="0.25">
      <c r="B10559"/>
      <c r="C10559"/>
      <c r="D10559"/>
      <c r="E10559"/>
      <c r="F10559"/>
      <c r="G10559" s="20"/>
      <c r="H10559"/>
      <c r="I10559"/>
    </row>
    <row r="10560" spans="2:9" ht="15" x14ac:dyDescent="0.25">
      <c r="B10560"/>
      <c r="C10560"/>
      <c r="D10560"/>
      <c r="E10560"/>
      <c r="F10560"/>
      <c r="G10560" s="20"/>
      <c r="H10560"/>
      <c r="I10560"/>
    </row>
    <row r="10561" spans="2:9" ht="15" x14ac:dyDescent="0.25">
      <c r="B10561"/>
      <c r="C10561"/>
      <c r="D10561"/>
      <c r="E10561"/>
      <c r="F10561"/>
      <c r="G10561" s="20"/>
      <c r="H10561"/>
      <c r="I10561"/>
    </row>
    <row r="10562" spans="2:9" ht="15" x14ac:dyDescent="0.25">
      <c r="B10562"/>
      <c r="C10562"/>
      <c r="D10562"/>
      <c r="E10562"/>
      <c r="F10562"/>
      <c r="G10562" s="20"/>
      <c r="H10562"/>
      <c r="I10562"/>
    </row>
    <row r="10563" spans="2:9" ht="15" x14ac:dyDescent="0.25">
      <c r="B10563"/>
      <c r="C10563"/>
      <c r="D10563"/>
      <c r="E10563"/>
      <c r="F10563"/>
      <c r="G10563" s="20"/>
      <c r="H10563"/>
      <c r="I10563"/>
    </row>
    <row r="10564" spans="2:9" ht="15" x14ac:dyDescent="0.25">
      <c r="B10564"/>
      <c r="C10564"/>
      <c r="D10564"/>
      <c r="E10564"/>
      <c r="F10564"/>
      <c r="G10564" s="20"/>
      <c r="H10564"/>
      <c r="I10564"/>
    </row>
    <row r="10565" spans="2:9" ht="15" x14ac:dyDescent="0.25">
      <c r="B10565"/>
      <c r="C10565"/>
      <c r="D10565"/>
      <c r="E10565"/>
      <c r="F10565"/>
      <c r="G10565" s="20"/>
      <c r="H10565"/>
      <c r="I10565"/>
    </row>
    <row r="10566" spans="2:9" ht="15" x14ac:dyDescent="0.25">
      <c r="B10566"/>
      <c r="C10566"/>
      <c r="D10566"/>
      <c r="E10566"/>
      <c r="F10566"/>
      <c r="G10566" s="20"/>
      <c r="H10566"/>
      <c r="I10566"/>
    </row>
    <row r="10567" spans="2:9" ht="15" x14ac:dyDescent="0.25">
      <c r="B10567"/>
      <c r="C10567"/>
      <c r="D10567"/>
      <c r="E10567"/>
      <c r="F10567"/>
      <c r="G10567" s="20"/>
      <c r="H10567"/>
      <c r="I10567"/>
    </row>
    <row r="10568" spans="2:9" ht="15" x14ac:dyDescent="0.25">
      <c r="B10568"/>
      <c r="C10568"/>
      <c r="D10568"/>
      <c r="E10568"/>
      <c r="F10568"/>
      <c r="G10568" s="20"/>
      <c r="H10568"/>
      <c r="I10568"/>
    </row>
    <row r="10569" spans="2:9" ht="15" x14ac:dyDescent="0.25">
      <c r="B10569"/>
      <c r="C10569"/>
      <c r="D10569"/>
      <c r="E10569"/>
      <c r="F10569"/>
      <c r="G10569" s="20"/>
      <c r="H10569"/>
      <c r="I10569"/>
    </row>
    <row r="10570" spans="2:9" ht="15" x14ac:dyDescent="0.25">
      <c r="B10570"/>
      <c r="C10570"/>
      <c r="D10570"/>
      <c r="E10570"/>
      <c r="F10570"/>
      <c r="G10570" s="20"/>
      <c r="H10570"/>
      <c r="I10570"/>
    </row>
    <row r="10571" spans="2:9" ht="15" x14ac:dyDescent="0.25">
      <c r="B10571"/>
      <c r="C10571"/>
      <c r="D10571"/>
      <c r="E10571"/>
      <c r="F10571"/>
      <c r="G10571" s="20"/>
      <c r="H10571"/>
      <c r="I10571"/>
    </row>
    <row r="10572" spans="2:9" ht="15" x14ac:dyDescent="0.25">
      <c r="B10572"/>
      <c r="C10572"/>
      <c r="D10572"/>
      <c r="E10572"/>
      <c r="F10572"/>
      <c r="G10572" s="20"/>
      <c r="H10572"/>
      <c r="I10572"/>
    </row>
    <row r="10573" spans="2:9" ht="15" x14ac:dyDescent="0.25">
      <c r="B10573"/>
      <c r="C10573"/>
      <c r="D10573"/>
      <c r="E10573"/>
      <c r="F10573"/>
      <c r="G10573" s="20"/>
      <c r="H10573"/>
      <c r="I10573"/>
    </row>
    <row r="10574" spans="2:9" ht="15" x14ac:dyDescent="0.25">
      <c r="B10574"/>
      <c r="C10574"/>
      <c r="D10574"/>
      <c r="E10574"/>
      <c r="F10574"/>
      <c r="G10574" s="20"/>
      <c r="H10574"/>
      <c r="I10574"/>
    </row>
    <row r="10575" spans="2:9" ht="15" x14ac:dyDescent="0.25">
      <c r="B10575"/>
      <c r="C10575"/>
      <c r="D10575"/>
      <c r="E10575"/>
      <c r="F10575"/>
      <c r="G10575" s="20"/>
      <c r="H10575"/>
      <c r="I10575"/>
    </row>
    <row r="10576" spans="2:9" ht="15" x14ac:dyDescent="0.25">
      <c r="B10576"/>
      <c r="C10576"/>
      <c r="D10576"/>
      <c r="E10576"/>
      <c r="F10576"/>
      <c r="G10576" s="20"/>
      <c r="H10576"/>
      <c r="I10576"/>
    </row>
    <row r="10577" spans="2:9" ht="15" x14ac:dyDescent="0.25">
      <c r="B10577"/>
      <c r="C10577"/>
      <c r="D10577"/>
      <c r="E10577"/>
      <c r="F10577"/>
      <c r="G10577" s="20"/>
      <c r="H10577"/>
      <c r="I10577"/>
    </row>
    <row r="10578" spans="2:9" ht="15" x14ac:dyDescent="0.25">
      <c r="B10578"/>
      <c r="C10578"/>
      <c r="D10578"/>
      <c r="E10578"/>
      <c r="F10578"/>
      <c r="G10578" s="20"/>
      <c r="H10578"/>
      <c r="I10578"/>
    </row>
    <row r="10579" spans="2:9" ht="15" x14ac:dyDescent="0.25">
      <c r="B10579"/>
      <c r="C10579"/>
      <c r="D10579"/>
      <c r="E10579"/>
      <c r="F10579"/>
      <c r="G10579" s="20"/>
      <c r="H10579"/>
      <c r="I10579"/>
    </row>
    <row r="10580" spans="2:9" ht="15" x14ac:dyDescent="0.25">
      <c r="B10580"/>
      <c r="C10580"/>
      <c r="D10580"/>
      <c r="E10580"/>
      <c r="F10580"/>
      <c r="G10580" s="20"/>
      <c r="H10580"/>
      <c r="I10580"/>
    </row>
    <row r="10581" spans="2:9" ht="15" x14ac:dyDescent="0.25">
      <c r="B10581"/>
      <c r="C10581"/>
      <c r="D10581"/>
      <c r="E10581"/>
      <c r="F10581"/>
      <c r="G10581" s="20"/>
      <c r="H10581"/>
      <c r="I10581"/>
    </row>
    <row r="10582" spans="2:9" ht="15" x14ac:dyDescent="0.25">
      <c r="B10582"/>
      <c r="C10582"/>
      <c r="D10582"/>
      <c r="E10582"/>
      <c r="F10582"/>
      <c r="G10582" s="20"/>
      <c r="H10582"/>
      <c r="I10582"/>
    </row>
    <row r="10583" spans="2:9" ht="15" x14ac:dyDescent="0.25">
      <c r="B10583"/>
      <c r="C10583"/>
      <c r="D10583"/>
      <c r="E10583"/>
      <c r="F10583"/>
      <c r="G10583" s="20"/>
      <c r="H10583"/>
      <c r="I10583"/>
    </row>
    <row r="10584" spans="2:9" ht="15" x14ac:dyDescent="0.25">
      <c r="B10584"/>
      <c r="C10584"/>
      <c r="D10584"/>
      <c r="E10584"/>
      <c r="F10584"/>
      <c r="G10584" s="20"/>
      <c r="H10584"/>
      <c r="I10584"/>
    </row>
    <row r="10585" spans="2:9" ht="15" x14ac:dyDescent="0.25">
      <c r="B10585"/>
      <c r="C10585"/>
      <c r="D10585"/>
      <c r="E10585"/>
      <c r="F10585"/>
      <c r="G10585" s="20"/>
      <c r="H10585"/>
      <c r="I10585"/>
    </row>
    <row r="10586" spans="2:9" ht="15" x14ac:dyDescent="0.25">
      <c r="B10586"/>
      <c r="C10586"/>
      <c r="D10586"/>
      <c r="E10586"/>
      <c r="F10586"/>
      <c r="G10586" s="20"/>
      <c r="H10586"/>
      <c r="I10586"/>
    </row>
    <row r="10587" spans="2:9" ht="15" x14ac:dyDescent="0.25">
      <c r="B10587"/>
      <c r="C10587"/>
      <c r="D10587"/>
      <c r="E10587"/>
      <c r="F10587"/>
      <c r="G10587" s="20"/>
      <c r="H10587"/>
      <c r="I10587"/>
    </row>
    <row r="10588" spans="2:9" ht="15" x14ac:dyDescent="0.25">
      <c r="B10588"/>
      <c r="C10588"/>
      <c r="D10588"/>
      <c r="E10588"/>
      <c r="F10588"/>
      <c r="G10588" s="20"/>
      <c r="H10588"/>
      <c r="I10588"/>
    </row>
    <row r="10589" spans="2:9" ht="15" x14ac:dyDescent="0.25">
      <c r="B10589"/>
      <c r="C10589"/>
      <c r="D10589"/>
      <c r="E10589"/>
      <c r="F10589"/>
      <c r="G10589" s="20"/>
      <c r="H10589"/>
      <c r="I10589"/>
    </row>
    <row r="10590" spans="2:9" ht="15" x14ac:dyDescent="0.25">
      <c r="B10590"/>
      <c r="C10590"/>
      <c r="D10590"/>
      <c r="E10590"/>
      <c r="F10590"/>
      <c r="G10590" s="20"/>
      <c r="H10590"/>
      <c r="I10590"/>
    </row>
    <row r="10591" spans="2:9" ht="15" x14ac:dyDescent="0.25">
      <c r="B10591"/>
      <c r="C10591"/>
      <c r="D10591"/>
      <c r="E10591"/>
      <c r="F10591"/>
      <c r="G10591" s="20"/>
      <c r="H10591"/>
      <c r="I10591"/>
    </row>
    <row r="10592" spans="2:9" ht="15" x14ac:dyDescent="0.25">
      <c r="B10592"/>
      <c r="C10592"/>
      <c r="D10592"/>
      <c r="E10592"/>
      <c r="F10592"/>
      <c r="G10592" s="20"/>
      <c r="H10592"/>
      <c r="I10592"/>
    </row>
    <row r="10593" spans="2:9" ht="15" x14ac:dyDescent="0.25">
      <c r="B10593"/>
      <c r="C10593"/>
      <c r="D10593"/>
      <c r="E10593"/>
      <c r="F10593"/>
      <c r="G10593" s="20"/>
      <c r="H10593"/>
      <c r="I10593"/>
    </row>
    <row r="10594" spans="2:9" ht="15" x14ac:dyDescent="0.25">
      <c r="B10594"/>
      <c r="C10594"/>
      <c r="D10594"/>
      <c r="E10594"/>
      <c r="F10594"/>
      <c r="G10594" s="20"/>
      <c r="H10594"/>
      <c r="I10594"/>
    </row>
    <row r="10595" spans="2:9" ht="15" x14ac:dyDescent="0.25">
      <c r="B10595"/>
      <c r="C10595"/>
      <c r="D10595"/>
      <c r="E10595"/>
      <c r="F10595"/>
      <c r="G10595" s="20"/>
      <c r="H10595"/>
      <c r="I10595"/>
    </row>
    <row r="10596" spans="2:9" ht="15" x14ac:dyDescent="0.25">
      <c r="B10596"/>
      <c r="C10596"/>
      <c r="D10596"/>
      <c r="E10596"/>
      <c r="F10596"/>
      <c r="G10596" s="20"/>
      <c r="H10596"/>
      <c r="I10596"/>
    </row>
    <row r="10597" spans="2:9" ht="15" x14ac:dyDescent="0.25">
      <c r="B10597"/>
      <c r="C10597"/>
      <c r="D10597"/>
      <c r="E10597"/>
      <c r="F10597"/>
      <c r="G10597" s="20"/>
      <c r="H10597"/>
      <c r="I10597"/>
    </row>
    <row r="10598" spans="2:9" ht="15" x14ac:dyDescent="0.25">
      <c r="B10598"/>
      <c r="C10598"/>
      <c r="D10598"/>
      <c r="E10598"/>
      <c r="F10598"/>
      <c r="G10598" s="20"/>
      <c r="H10598"/>
      <c r="I10598"/>
    </row>
    <row r="10599" spans="2:9" ht="15" x14ac:dyDescent="0.25">
      <c r="B10599"/>
      <c r="C10599"/>
      <c r="D10599"/>
      <c r="E10599"/>
      <c r="F10599"/>
      <c r="G10599" s="20"/>
      <c r="H10599"/>
      <c r="I10599"/>
    </row>
    <row r="10600" spans="2:9" ht="15" x14ac:dyDescent="0.25">
      <c r="B10600"/>
      <c r="C10600"/>
      <c r="D10600"/>
      <c r="E10600"/>
      <c r="F10600"/>
      <c r="G10600" s="20"/>
      <c r="H10600"/>
      <c r="I10600"/>
    </row>
    <row r="10601" spans="2:9" ht="15" x14ac:dyDescent="0.25">
      <c r="B10601"/>
      <c r="C10601"/>
      <c r="D10601"/>
      <c r="E10601"/>
      <c r="F10601"/>
      <c r="G10601" s="20"/>
      <c r="H10601"/>
      <c r="I10601"/>
    </row>
    <row r="10602" spans="2:9" ht="15" x14ac:dyDescent="0.25">
      <c r="B10602"/>
      <c r="C10602"/>
      <c r="D10602"/>
      <c r="E10602"/>
      <c r="F10602"/>
      <c r="G10602" s="20"/>
      <c r="H10602"/>
      <c r="I10602"/>
    </row>
    <row r="10603" spans="2:9" ht="15" x14ac:dyDescent="0.25">
      <c r="B10603"/>
      <c r="C10603"/>
      <c r="D10603"/>
      <c r="E10603"/>
      <c r="F10603"/>
      <c r="G10603" s="20"/>
      <c r="H10603"/>
      <c r="I10603"/>
    </row>
    <row r="10604" spans="2:9" ht="15" x14ac:dyDescent="0.25">
      <c r="B10604"/>
      <c r="C10604"/>
      <c r="D10604"/>
      <c r="E10604"/>
      <c r="F10604"/>
      <c r="G10604" s="20"/>
      <c r="H10604"/>
      <c r="I10604"/>
    </row>
    <row r="10605" spans="2:9" ht="15" x14ac:dyDescent="0.25">
      <c r="B10605"/>
      <c r="C10605"/>
      <c r="D10605"/>
      <c r="E10605"/>
      <c r="F10605"/>
      <c r="G10605" s="20"/>
      <c r="H10605"/>
      <c r="I10605"/>
    </row>
    <row r="10606" spans="2:9" ht="15" x14ac:dyDescent="0.25">
      <c r="B10606"/>
      <c r="C10606"/>
      <c r="D10606"/>
      <c r="E10606"/>
      <c r="F10606"/>
      <c r="G10606" s="20"/>
      <c r="H10606"/>
      <c r="I10606"/>
    </row>
    <row r="10607" spans="2:9" ht="15" x14ac:dyDescent="0.25">
      <c r="B10607"/>
      <c r="C10607"/>
      <c r="D10607"/>
      <c r="E10607"/>
      <c r="F10607"/>
      <c r="G10607" s="20"/>
      <c r="H10607"/>
      <c r="I10607"/>
    </row>
    <row r="10608" spans="2:9" ht="15" x14ac:dyDescent="0.25">
      <c r="B10608"/>
      <c r="C10608"/>
      <c r="D10608"/>
      <c r="E10608"/>
      <c r="F10608"/>
      <c r="G10608" s="20"/>
      <c r="H10608"/>
      <c r="I10608"/>
    </row>
    <row r="10609" spans="2:9" ht="15" x14ac:dyDescent="0.25">
      <c r="B10609"/>
      <c r="C10609"/>
      <c r="D10609"/>
      <c r="E10609"/>
      <c r="F10609"/>
      <c r="G10609" s="20"/>
      <c r="H10609"/>
      <c r="I10609"/>
    </row>
    <row r="10610" spans="2:9" ht="15" x14ac:dyDescent="0.25">
      <c r="B10610"/>
      <c r="C10610"/>
      <c r="D10610"/>
      <c r="E10610"/>
      <c r="F10610"/>
      <c r="G10610" s="20"/>
      <c r="H10610"/>
      <c r="I10610"/>
    </row>
    <row r="10611" spans="2:9" ht="15" x14ac:dyDescent="0.25">
      <c r="B10611"/>
      <c r="C10611"/>
      <c r="D10611"/>
      <c r="E10611"/>
      <c r="F10611"/>
      <c r="G10611" s="20"/>
      <c r="H10611"/>
      <c r="I10611"/>
    </row>
    <row r="10612" spans="2:9" ht="15" x14ac:dyDescent="0.25">
      <c r="B10612"/>
      <c r="C10612"/>
      <c r="D10612"/>
      <c r="E10612"/>
      <c r="F10612"/>
      <c r="G10612" s="20"/>
      <c r="H10612"/>
      <c r="I10612"/>
    </row>
    <row r="10613" spans="2:9" ht="15" x14ac:dyDescent="0.25">
      <c r="B10613"/>
      <c r="C10613"/>
      <c r="D10613"/>
      <c r="E10613"/>
      <c r="F10613"/>
      <c r="G10613" s="20"/>
      <c r="H10613"/>
      <c r="I10613"/>
    </row>
    <row r="10614" spans="2:9" ht="15" x14ac:dyDescent="0.25">
      <c r="B10614"/>
      <c r="C10614"/>
      <c r="D10614"/>
      <c r="E10614"/>
      <c r="F10614"/>
      <c r="G10614" s="20"/>
      <c r="H10614"/>
      <c r="I10614"/>
    </row>
    <row r="10615" spans="2:9" ht="15" x14ac:dyDescent="0.25">
      <c r="B10615"/>
      <c r="C10615"/>
      <c r="D10615"/>
      <c r="E10615"/>
      <c r="F10615"/>
      <c r="G10615" s="20"/>
      <c r="H10615"/>
      <c r="I10615"/>
    </row>
    <row r="10616" spans="2:9" ht="15" x14ac:dyDescent="0.25">
      <c r="B10616"/>
      <c r="C10616"/>
      <c r="D10616"/>
      <c r="E10616"/>
      <c r="F10616"/>
      <c r="G10616" s="20"/>
      <c r="H10616"/>
      <c r="I10616"/>
    </row>
    <row r="10617" spans="2:9" ht="15" x14ac:dyDescent="0.25">
      <c r="B10617"/>
      <c r="C10617"/>
      <c r="D10617"/>
      <c r="E10617"/>
      <c r="F10617"/>
      <c r="G10617" s="20"/>
      <c r="H10617"/>
      <c r="I10617"/>
    </row>
    <row r="10618" spans="2:9" ht="15" x14ac:dyDescent="0.25">
      <c r="B10618"/>
      <c r="C10618"/>
      <c r="D10618"/>
      <c r="E10618"/>
      <c r="F10618"/>
      <c r="G10618" s="20"/>
      <c r="H10618"/>
      <c r="I10618"/>
    </row>
    <row r="10619" spans="2:9" ht="15" x14ac:dyDescent="0.25">
      <c r="B10619"/>
      <c r="C10619"/>
      <c r="D10619"/>
      <c r="E10619"/>
      <c r="F10619"/>
      <c r="G10619" s="20"/>
      <c r="H10619"/>
      <c r="I10619"/>
    </row>
    <row r="10620" spans="2:9" ht="15" x14ac:dyDescent="0.25">
      <c r="B10620"/>
      <c r="C10620"/>
      <c r="D10620"/>
      <c r="E10620"/>
      <c r="F10620"/>
      <c r="G10620" s="20"/>
      <c r="H10620"/>
      <c r="I10620"/>
    </row>
    <row r="10621" spans="2:9" ht="15" x14ac:dyDescent="0.25">
      <c r="B10621"/>
      <c r="C10621"/>
      <c r="D10621"/>
      <c r="E10621"/>
      <c r="F10621"/>
      <c r="G10621" s="20"/>
      <c r="H10621"/>
      <c r="I10621"/>
    </row>
    <row r="10622" spans="2:9" ht="15" x14ac:dyDescent="0.25">
      <c r="B10622"/>
      <c r="C10622"/>
      <c r="D10622"/>
      <c r="E10622"/>
      <c r="F10622"/>
      <c r="G10622" s="20"/>
      <c r="H10622"/>
      <c r="I10622"/>
    </row>
    <row r="10623" spans="2:9" ht="15" x14ac:dyDescent="0.25">
      <c r="B10623"/>
      <c r="C10623"/>
      <c r="D10623"/>
      <c r="E10623"/>
      <c r="F10623"/>
      <c r="G10623" s="20"/>
      <c r="H10623"/>
      <c r="I10623"/>
    </row>
    <row r="10624" spans="2:9" ht="15" x14ac:dyDescent="0.25">
      <c r="B10624"/>
      <c r="C10624"/>
      <c r="D10624"/>
      <c r="E10624"/>
      <c r="F10624"/>
      <c r="G10624" s="20"/>
      <c r="H10624"/>
      <c r="I10624"/>
    </row>
    <row r="10625" spans="2:9" ht="15" x14ac:dyDescent="0.25">
      <c r="B10625"/>
      <c r="C10625"/>
      <c r="D10625"/>
      <c r="E10625"/>
      <c r="F10625"/>
      <c r="G10625" s="20"/>
      <c r="H10625"/>
      <c r="I10625"/>
    </row>
    <row r="10626" spans="2:9" ht="15" x14ac:dyDescent="0.25">
      <c r="B10626"/>
      <c r="C10626"/>
      <c r="D10626"/>
      <c r="E10626"/>
      <c r="F10626"/>
      <c r="G10626" s="20"/>
      <c r="H10626"/>
      <c r="I10626"/>
    </row>
    <row r="10627" spans="2:9" ht="15" x14ac:dyDescent="0.25">
      <c r="B10627"/>
      <c r="C10627"/>
      <c r="D10627"/>
      <c r="E10627"/>
      <c r="F10627"/>
      <c r="G10627" s="20"/>
      <c r="H10627"/>
      <c r="I10627"/>
    </row>
    <row r="10628" spans="2:9" ht="15" x14ac:dyDescent="0.25">
      <c r="B10628"/>
      <c r="C10628"/>
      <c r="D10628"/>
      <c r="E10628"/>
      <c r="F10628"/>
      <c r="G10628" s="20"/>
      <c r="H10628"/>
      <c r="I10628"/>
    </row>
    <row r="10629" spans="2:9" ht="15" x14ac:dyDescent="0.25">
      <c r="B10629"/>
      <c r="C10629"/>
      <c r="D10629"/>
      <c r="E10629"/>
      <c r="F10629"/>
      <c r="G10629" s="20"/>
      <c r="H10629"/>
      <c r="I10629"/>
    </row>
    <row r="10630" spans="2:9" ht="15" x14ac:dyDescent="0.25">
      <c r="B10630"/>
      <c r="C10630"/>
      <c r="D10630"/>
      <c r="E10630"/>
      <c r="F10630"/>
      <c r="G10630" s="20"/>
      <c r="H10630"/>
      <c r="I10630"/>
    </row>
    <row r="10631" spans="2:9" ht="15" x14ac:dyDescent="0.25">
      <c r="B10631"/>
      <c r="C10631"/>
      <c r="D10631"/>
      <c r="E10631"/>
      <c r="F10631"/>
      <c r="G10631" s="20"/>
      <c r="H10631"/>
      <c r="I10631"/>
    </row>
    <row r="10632" spans="2:9" ht="15" x14ac:dyDescent="0.25">
      <c r="B10632"/>
      <c r="C10632"/>
      <c r="D10632"/>
      <c r="E10632"/>
      <c r="F10632"/>
      <c r="G10632" s="20"/>
      <c r="H10632"/>
      <c r="I10632"/>
    </row>
    <row r="10633" spans="2:9" ht="15" x14ac:dyDescent="0.25">
      <c r="B10633"/>
      <c r="C10633"/>
      <c r="D10633"/>
      <c r="E10633"/>
      <c r="F10633"/>
      <c r="G10633" s="20"/>
      <c r="H10633"/>
      <c r="I10633"/>
    </row>
    <row r="10634" spans="2:9" ht="15" x14ac:dyDescent="0.25">
      <c r="B10634"/>
      <c r="C10634"/>
      <c r="D10634"/>
      <c r="E10634"/>
      <c r="F10634"/>
      <c r="G10634" s="20"/>
      <c r="H10634"/>
      <c r="I10634"/>
    </row>
    <row r="10635" spans="2:9" ht="15" x14ac:dyDescent="0.25">
      <c r="B10635"/>
      <c r="C10635"/>
      <c r="D10635"/>
      <c r="E10635"/>
      <c r="F10635"/>
      <c r="G10635" s="20"/>
      <c r="H10635"/>
      <c r="I10635"/>
    </row>
    <row r="10636" spans="2:9" ht="15" x14ac:dyDescent="0.25">
      <c r="B10636"/>
      <c r="C10636"/>
      <c r="D10636"/>
      <c r="E10636"/>
      <c r="F10636"/>
      <c r="G10636" s="20"/>
      <c r="H10636"/>
      <c r="I10636"/>
    </row>
    <row r="10637" spans="2:9" ht="15" x14ac:dyDescent="0.25">
      <c r="B10637"/>
      <c r="C10637"/>
      <c r="D10637"/>
      <c r="E10637"/>
      <c r="F10637"/>
      <c r="G10637" s="20"/>
      <c r="H10637"/>
      <c r="I10637"/>
    </row>
    <row r="10638" spans="2:9" ht="15" x14ac:dyDescent="0.25">
      <c r="B10638"/>
      <c r="C10638"/>
      <c r="D10638"/>
      <c r="E10638"/>
      <c r="F10638"/>
      <c r="G10638" s="20"/>
      <c r="H10638"/>
      <c r="I10638"/>
    </row>
    <row r="10639" spans="2:9" ht="15" x14ac:dyDescent="0.25">
      <c r="B10639"/>
      <c r="C10639"/>
      <c r="D10639"/>
      <c r="E10639"/>
      <c r="F10639"/>
      <c r="G10639" s="20"/>
      <c r="H10639"/>
      <c r="I10639"/>
    </row>
    <row r="10640" spans="2:9" ht="15" x14ac:dyDescent="0.25">
      <c r="B10640"/>
      <c r="C10640"/>
      <c r="D10640"/>
      <c r="E10640"/>
      <c r="F10640"/>
      <c r="G10640" s="20"/>
      <c r="H10640"/>
      <c r="I10640"/>
    </row>
    <row r="10641" spans="2:9" ht="15" x14ac:dyDescent="0.25">
      <c r="B10641"/>
      <c r="C10641"/>
      <c r="D10641"/>
      <c r="E10641"/>
      <c r="F10641"/>
      <c r="G10641" s="20"/>
      <c r="H10641"/>
      <c r="I10641"/>
    </row>
    <row r="10642" spans="2:9" ht="15" x14ac:dyDescent="0.25">
      <c r="B10642"/>
      <c r="C10642"/>
      <c r="D10642"/>
      <c r="E10642"/>
      <c r="F10642"/>
      <c r="G10642" s="20"/>
      <c r="H10642"/>
      <c r="I10642"/>
    </row>
    <row r="10643" spans="2:9" ht="15" x14ac:dyDescent="0.25">
      <c r="B10643"/>
      <c r="C10643"/>
      <c r="D10643"/>
      <c r="E10643"/>
      <c r="F10643"/>
      <c r="G10643" s="20"/>
      <c r="H10643"/>
      <c r="I10643"/>
    </row>
    <row r="10644" spans="2:9" ht="15" x14ac:dyDescent="0.25">
      <c r="B10644"/>
      <c r="C10644"/>
      <c r="D10644"/>
      <c r="E10644"/>
      <c r="F10644"/>
      <c r="G10644" s="20"/>
      <c r="H10644"/>
      <c r="I10644"/>
    </row>
    <row r="10645" spans="2:9" ht="15" x14ac:dyDescent="0.25">
      <c r="B10645"/>
      <c r="C10645"/>
      <c r="D10645"/>
      <c r="E10645"/>
      <c r="F10645"/>
      <c r="G10645" s="20"/>
      <c r="H10645"/>
      <c r="I10645"/>
    </row>
    <row r="10646" spans="2:9" ht="15" x14ac:dyDescent="0.25">
      <c r="B10646"/>
      <c r="C10646"/>
      <c r="D10646"/>
      <c r="E10646"/>
      <c r="F10646"/>
      <c r="G10646" s="20"/>
      <c r="H10646"/>
      <c r="I10646"/>
    </row>
    <row r="10647" spans="2:9" ht="15" x14ac:dyDescent="0.25">
      <c r="B10647"/>
      <c r="C10647"/>
      <c r="D10647"/>
      <c r="E10647"/>
      <c r="F10647"/>
      <c r="G10647" s="20"/>
      <c r="H10647"/>
      <c r="I10647"/>
    </row>
    <row r="10648" spans="2:9" ht="15" x14ac:dyDescent="0.25">
      <c r="B10648"/>
      <c r="C10648"/>
      <c r="D10648"/>
      <c r="E10648"/>
      <c r="F10648"/>
      <c r="G10648" s="20"/>
      <c r="H10648"/>
      <c r="I10648"/>
    </row>
    <row r="10649" spans="2:9" ht="15" x14ac:dyDescent="0.25">
      <c r="B10649"/>
      <c r="C10649"/>
      <c r="D10649"/>
      <c r="E10649"/>
      <c r="F10649"/>
      <c r="G10649" s="20"/>
      <c r="H10649"/>
      <c r="I10649"/>
    </row>
    <row r="10650" spans="2:9" ht="15" x14ac:dyDescent="0.25">
      <c r="B10650"/>
      <c r="C10650"/>
      <c r="D10650"/>
      <c r="E10650"/>
      <c r="F10650"/>
      <c r="G10650" s="20"/>
      <c r="H10650"/>
      <c r="I10650"/>
    </row>
    <row r="10651" spans="2:9" ht="15" x14ac:dyDescent="0.25">
      <c r="B10651"/>
      <c r="C10651"/>
      <c r="D10651"/>
      <c r="E10651"/>
      <c r="F10651"/>
      <c r="G10651" s="20"/>
      <c r="H10651"/>
      <c r="I10651"/>
    </row>
    <row r="10652" spans="2:9" ht="15" x14ac:dyDescent="0.25">
      <c r="B10652"/>
      <c r="C10652"/>
      <c r="D10652"/>
      <c r="E10652"/>
      <c r="F10652"/>
      <c r="G10652" s="20"/>
      <c r="H10652"/>
      <c r="I10652"/>
    </row>
    <row r="10653" spans="2:9" ht="15" x14ac:dyDescent="0.25">
      <c r="B10653"/>
      <c r="C10653"/>
      <c r="D10653"/>
      <c r="E10653"/>
      <c r="F10653"/>
      <c r="G10653" s="20"/>
      <c r="H10653"/>
      <c r="I10653"/>
    </row>
    <row r="10654" spans="2:9" ht="15" x14ac:dyDescent="0.25">
      <c r="B10654"/>
      <c r="C10654"/>
      <c r="D10654"/>
      <c r="E10654"/>
      <c r="F10654"/>
      <c r="G10654" s="20"/>
      <c r="H10654"/>
      <c r="I10654"/>
    </row>
    <row r="10655" spans="2:9" ht="15" x14ac:dyDescent="0.25">
      <c r="B10655"/>
      <c r="C10655"/>
      <c r="D10655"/>
      <c r="E10655"/>
      <c r="F10655"/>
      <c r="G10655" s="20"/>
      <c r="H10655"/>
      <c r="I10655"/>
    </row>
    <row r="10656" spans="2:9" ht="15" x14ac:dyDescent="0.25">
      <c r="B10656"/>
      <c r="C10656"/>
      <c r="D10656"/>
      <c r="E10656"/>
      <c r="F10656"/>
      <c r="G10656" s="20"/>
      <c r="H10656"/>
      <c r="I10656"/>
    </row>
    <row r="10657" spans="2:9" ht="15" x14ac:dyDescent="0.25">
      <c r="B10657"/>
      <c r="C10657"/>
      <c r="D10657"/>
      <c r="E10657"/>
      <c r="F10657"/>
      <c r="G10657" s="20"/>
      <c r="H10657"/>
      <c r="I10657"/>
    </row>
    <row r="10658" spans="2:9" ht="15" x14ac:dyDescent="0.25">
      <c r="B10658"/>
      <c r="C10658"/>
      <c r="D10658"/>
      <c r="E10658"/>
      <c r="F10658"/>
      <c r="G10658" s="20"/>
      <c r="H10658"/>
      <c r="I10658"/>
    </row>
    <row r="10659" spans="2:9" ht="15" x14ac:dyDescent="0.25">
      <c r="B10659"/>
      <c r="C10659"/>
      <c r="D10659"/>
      <c r="E10659"/>
      <c r="F10659"/>
      <c r="G10659" s="20"/>
      <c r="H10659"/>
      <c r="I10659"/>
    </row>
    <row r="10660" spans="2:9" ht="15" x14ac:dyDescent="0.25">
      <c r="B10660"/>
      <c r="C10660"/>
      <c r="D10660"/>
      <c r="E10660"/>
      <c r="F10660"/>
      <c r="G10660" s="20"/>
      <c r="H10660"/>
      <c r="I10660"/>
    </row>
    <row r="10661" spans="2:9" ht="15" x14ac:dyDescent="0.25">
      <c r="B10661"/>
      <c r="C10661"/>
      <c r="D10661"/>
      <c r="E10661"/>
      <c r="F10661"/>
      <c r="G10661" s="20"/>
      <c r="H10661"/>
      <c r="I10661"/>
    </row>
    <row r="10662" spans="2:9" ht="15" x14ac:dyDescent="0.25">
      <c r="B10662"/>
      <c r="C10662"/>
      <c r="D10662"/>
      <c r="E10662"/>
      <c r="F10662"/>
      <c r="G10662" s="20"/>
      <c r="H10662"/>
      <c r="I10662"/>
    </row>
    <row r="10663" spans="2:9" ht="15" x14ac:dyDescent="0.25">
      <c r="B10663"/>
      <c r="C10663"/>
      <c r="D10663"/>
      <c r="E10663"/>
      <c r="F10663"/>
      <c r="G10663" s="20"/>
      <c r="H10663"/>
      <c r="I10663"/>
    </row>
    <row r="10664" spans="2:9" ht="15" x14ac:dyDescent="0.25">
      <c r="B10664"/>
      <c r="C10664"/>
      <c r="D10664"/>
      <c r="E10664"/>
      <c r="F10664"/>
      <c r="G10664" s="20"/>
      <c r="H10664"/>
      <c r="I10664"/>
    </row>
    <row r="10665" spans="2:9" ht="15" x14ac:dyDescent="0.25">
      <c r="B10665"/>
      <c r="C10665"/>
      <c r="D10665"/>
      <c r="E10665"/>
      <c r="F10665"/>
      <c r="G10665" s="20"/>
      <c r="H10665"/>
      <c r="I10665"/>
    </row>
    <row r="10666" spans="2:9" ht="15" x14ac:dyDescent="0.25">
      <c r="B10666"/>
      <c r="C10666"/>
      <c r="D10666"/>
      <c r="E10666"/>
      <c r="F10666"/>
      <c r="G10666" s="20"/>
      <c r="H10666"/>
      <c r="I10666"/>
    </row>
    <row r="10667" spans="2:9" ht="15" x14ac:dyDescent="0.25">
      <c r="B10667"/>
      <c r="C10667"/>
      <c r="D10667"/>
      <c r="E10667"/>
      <c r="F10667"/>
      <c r="G10667" s="20"/>
      <c r="H10667"/>
      <c r="I10667"/>
    </row>
    <row r="10668" spans="2:9" ht="15" x14ac:dyDescent="0.25">
      <c r="B10668"/>
      <c r="C10668"/>
      <c r="D10668"/>
      <c r="E10668"/>
      <c r="F10668"/>
      <c r="G10668" s="20"/>
      <c r="H10668"/>
      <c r="I10668"/>
    </row>
    <row r="10669" spans="2:9" ht="15" x14ac:dyDescent="0.25">
      <c r="B10669"/>
      <c r="C10669"/>
      <c r="D10669"/>
      <c r="E10669"/>
      <c r="F10669"/>
      <c r="G10669" s="20"/>
      <c r="H10669"/>
      <c r="I10669"/>
    </row>
    <row r="10670" spans="2:9" ht="15" x14ac:dyDescent="0.25">
      <c r="B10670"/>
      <c r="C10670"/>
      <c r="D10670"/>
      <c r="E10670"/>
      <c r="F10670"/>
      <c r="G10670" s="20"/>
      <c r="H10670"/>
      <c r="I10670"/>
    </row>
    <row r="10671" spans="2:9" ht="15" x14ac:dyDescent="0.25">
      <c r="B10671"/>
      <c r="C10671"/>
      <c r="D10671"/>
      <c r="E10671"/>
      <c r="F10671"/>
      <c r="G10671" s="20"/>
      <c r="H10671"/>
      <c r="I10671"/>
    </row>
    <row r="10672" spans="2:9" ht="15" x14ac:dyDescent="0.25">
      <c r="B10672"/>
      <c r="C10672"/>
      <c r="D10672"/>
      <c r="E10672"/>
      <c r="F10672"/>
      <c r="G10672" s="20"/>
      <c r="H10672"/>
      <c r="I10672"/>
    </row>
    <row r="10673" spans="2:9" ht="15" x14ac:dyDescent="0.25">
      <c r="B10673"/>
      <c r="C10673"/>
      <c r="D10673"/>
      <c r="E10673"/>
      <c r="F10673"/>
      <c r="G10673" s="20"/>
      <c r="H10673"/>
      <c r="I10673"/>
    </row>
    <row r="10674" spans="2:9" ht="15" x14ac:dyDescent="0.25">
      <c r="B10674"/>
      <c r="C10674"/>
      <c r="D10674"/>
      <c r="E10674"/>
      <c r="F10674"/>
      <c r="G10674" s="20"/>
      <c r="H10674"/>
      <c r="I10674"/>
    </row>
    <row r="10675" spans="2:9" ht="15" x14ac:dyDescent="0.25">
      <c r="B10675"/>
      <c r="C10675"/>
      <c r="D10675"/>
      <c r="E10675"/>
      <c r="F10675"/>
      <c r="G10675" s="20"/>
      <c r="H10675"/>
      <c r="I10675"/>
    </row>
    <row r="10676" spans="2:9" ht="15" x14ac:dyDescent="0.25">
      <c r="B10676"/>
      <c r="C10676"/>
      <c r="D10676"/>
      <c r="E10676"/>
      <c r="F10676"/>
      <c r="G10676" s="20"/>
      <c r="H10676"/>
      <c r="I10676"/>
    </row>
    <row r="10677" spans="2:9" ht="15" x14ac:dyDescent="0.25">
      <c r="B10677"/>
      <c r="C10677"/>
      <c r="D10677"/>
      <c r="E10677"/>
      <c r="F10677"/>
      <c r="G10677" s="20"/>
      <c r="H10677"/>
      <c r="I10677"/>
    </row>
    <row r="10678" spans="2:9" ht="15" x14ac:dyDescent="0.25">
      <c r="B10678"/>
      <c r="C10678"/>
      <c r="D10678"/>
      <c r="E10678"/>
      <c r="F10678"/>
      <c r="G10678" s="20"/>
      <c r="H10678"/>
      <c r="I10678"/>
    </row>
    <row r="10679" spans="2:9" ht="15" x14ac:dyDescent="0.25">
      <c r="B10679"/>
      <c r="C10679"/>
      <c r="D10679"/>
      <c r="E10679"/>
      <c r="F10679"/>
      <c r="G10679" s="20"/>
      <c r="H10679"/>
      <c r="I10679"/>
    </row>
    <row r="10680" spans="2:9" ht="15" x14ac:dyDescent="0.25">
      <c r="B10680"/>
      <c r="C10680"/>
      <c r="D10680"/>
      <c r="E10680"/>
      <c r="F10680"/>
      <c r="G10680" s="20"/>
      <c r="H10680"/>
      <c r="I10680"/>
    </row>
    <row r="10681" spans="2:9" ht="15" x14ac:dyDescent="0.25">
      <c r="B10681"/>
      <c r="C10681"/>
      <c r="D10681"/>
      <c r="E10681"/>
      <c r="F10681"/>
      <c r="G10681" s="20"/>
      <c r="H10681"/>
      <c r="I10681"/>
    </row>
    <row r="10682" spans="2:9" ht="15" x14ac:dyDescent="0.25">
      <c r="B10682"/>
      <c r="C10682"/>
      <c r="D10682"/>
      <c r="E10682"/>
      <c r="F10682"/>
      <c r="G10682" s="20"/>
      <c r="H10682"/>
      <c r="I10682"/>
    </row>
    <row r="10683" spans="2:9" ht="15" x14ac:dyDescent="0.25">
      <c r="B10683"/>
      <c r="C10683"/>
      <c r="D10683"/>
      <c r="E10683"/>
      <c r="F10683"/>
      <c r="G10683" s="20"/>
      <c r="H10683"/>
      <c r="I10683"/>
    </row>
    <row r="10684" spans="2:9" ht="15" x14ac:dyDescent="0.25">
      <c r="B10684"/>
      <c r="C10684"/>
      <c r="D10684"/>
      <c r="E10684"/>
      <c r="F10684"/>
      <c r="G10684" s="20"/>
      <c r="H10684"/>
      <c r="I10684"/>
    </row>
    <row r="10685" spans="2:9" ht="15" x14ac:dyDescent="0.25">
      <c r="B10685"/>
      <c r="C10685"/>
      <c r="D10685"/>
      <c r="E10685"/>
      <c r="F10685"/>
      <c r="G10685" s="20"/>
      <c r="H10685"/>
      <c r="I10685"/>
    </row>
    <row r="10686" spans="2:9" ht="15" x14ac:dyDescent="0.25">
      <c r="B10686"/>
      <c r="C10686"/>
      <c r="D10686"/>
      <c r="E10686"/>
      <c r="F10686"/>
      <c r="G10686" s="20"/>
      <c r="H10686"/>
      <c r="I10686"/>
    </row>
    <row r="10687" spans="2:9" ht="15" x14ac:dyDescent="0.25">
      <c r="B10687"/>
      <c r="C10687"/>
      <c r="D10687"/>
      <c r="E10687"/>
      <c r="F10687"/>
      <c r="G10687" s="20"/>
      <c r="H10687"/>
      <c r="I10687"/>
    </row>
    <row r="10688" spans="2:9" ht="15" x14ac:dyDescent="0.25">
      <c r="B10688"/>
      <c r="C10688"/>
      <c r="D10688"/>
      <c r="E10688"/>
      <c r="F10688"/>
      <c r="G10688" s="20"/>
      <c r="H10688"/>
      <c r="I10688"/>
    </row>
    <row r="10689" spans="2:9" ht="15" x14ac:dyDescent="0.25">
      <c r="B10689"/>
      <c r="C10689"/>
      <c r="D10689"/>
      <c r="E10689"/>
      <c r="F10689"/>
      <c r="G10689" s="20"/>
      <c r="H10689"/>
      <c r="I10689"/>
    </row>
    <row r="10690" spans="2:9" ht="15" x14ac:dyDescent="0.25">
      <c r="B10690"/>
      <c r="C10690"/>
      <c r="D10690"/>
      <c r="E10690"/>
      <c r="F10690"/>
      <c r="G10690" s="20"/>
      <c r="H10690"/>
      <c r="I10690"/>
    </row>
    <row r="10691" spans="2:9" ht="15" x14ac:dyDescent="0.25">
      <c r="B10691"/>
      <c r="C10691"/>
      <c r="D10691"/>
      <c r="E10691"/>
      <c r="F10691"/>
      <c r="G10691" s="20"/>
      <c r="H10691"/>
      <c r="I10691"/>
    </row>
    <row r="10692" spans="2:9" ht="15" x14ac:dyDescent="0.25">
      <c r="B10692"/>
      <c r="C10692"/>
      <c r="D10692"/>
      <c r="E10692"/>
      <c r="F10692"/>
      <c r="G10692" s="20"/>
      <c r="H10692"/>
      <c r="I10692"/>
    </row>
    <row r="10693" spans="2:9" ht="15" x14ac:dyDescent="0.25">
      <c r="B10693"/>
      <c r="C10693"/>
      <c r="D10693"/>
      <c r="E10693"/>
      <c r="F10693"/>
      <c r="G10693" s="20"/>
      <c r="H10693"/>
      <c r="I10693"/>
    </row>
    <row r="10694" spans="2:9" ht="15" x14ac:dyDescent="0.25">
      <c r="B10694"/>
      <c r="C10694"/>
      <c r="D10694"/>
      <c r="E10694"/>
      <c r="F10694"/>
      <c r="G10694" s="20"/>
      <c r="H10694"/>
      <c r="I10694"/>
    </row>
    <row r="10695" spans="2:9" ht="15" x14ac:dyDescent="0.25">
      <c r="B10695"/>
      <c r="C10695"/>
      <c r="D10695"/>
      <c r="E10695"/>
      <c r="F10695"/>
      <c r="G10695" s="20"/>
      <c r="H10695"/>
      <c r="I10695"/>
    </row>
    <row r="10696" spans="2:9" ht="15" x14ac:dyDescent="0.25">
      <c r="B10696"/>
      <c r="C10696"/>
      <c r="D10696"/>
      <c r="E10696"/>
      <c r="F10696"/>
      <c r="G10696" s="20"/>
      <c r="H10696"/>
      <c r="I10696"/>
    </row>
    <row r="10697" spans="2:9" ht="15" x14ac:dyDescent="0.25">
      <c r="B10697"/>
      <c r="C10697"/>
      <c r="D10697"/>
      <c r="E10697"/>
      <c r="F10697"/>
      <c r="G10697" s="20"/>
      <c r="H10697"/>
      <c r="I10697"/>
    </row>
    <row r="10698" spans="2:9" ht="15" x14ac:dyDescent="0.25">
      <c r="B10698"/>
      <c r="C10698"/>
      <c r="D10698"/>
      <c r="E10698"/>
      <c r="F10698"/>
      <c r="G10698" s="20"/>
      <c r="H10698"/>
      <c r="I10698"/>
    </row>
    <row r="10699" spans="2:9" ht="15" x14ac:dyDescent="0.25">
      <c r="B10699"/>
      <c r="C10699"/>
      <c r="D10699"/>
      <c r="E10699"/>
      <c r="F10699"/>
      <c r="G10699" s="20"/>
      <c r="H10699"/>
      <c r="I10699"/>
    </row>
    <row r="10700" spans="2:9" ht="15" x14ac:dyDescent="0.25">
      <c r="B10700"/>
      <c r="C10700"/>
      <c r="D10700"/>
      <c r="E10700"/>
      <c r="F10700"/>
      <c r="G10700" s="20"/>
      <c r="H10700"/>
      <c r="I10700"/>
    </row>
    <row r="10701" spans="2:9" ht="15" x14ac:dyDescent="0.25">
      <c r="B10701"/>
      <c r="C10701"/>
      <c r="D10701"/>
      <c r="E10701"/>
      <c r="F10701"/>
      <c r="G10701" s="20"/>
      <c r="H10701"/>
      <c r="I10701"/>
    </row>
    <row r="10702" spans="2:9" ht="15" x14ac:dyDescent="0.25">
      <c r="B10702"/>
      <c r="C10702"/>
      <c r="D10702"/>
      <c r="E10702"/>
      <c r="F10702"/>
      <c r="G10702" s="20"/>
      <c r="H10702"/>
      <c r="I10702"/>
    </row>
    <row r="10703" spans="2:9" ht="15" x14ac:dyDescent="0.25">
      <c r="B10703"/>
      <c r="C10703"/>
      <c r="D10703"/>
      <c r="E10703"/>
      <c r="F10703"/>
      <c r="G10703" s="20"/>
      <c r="H10703"/>
      <c r="I10703"/>
    </row>
    <row r="10704" spans="2:9" ht="15" x14ac:dyDescent="0.25">
      <c r="B10704"/>
      <c r="C10704"/>
      <c r="D10704"/>
      <c r="E10704"/>
      <c r="F10704"/>
      <c r="G10704" s="20"/>
      <c r="H10704"/>
      <c r="I10704"/>
    </row>
    <row r="10705" spans="2:9" ht="15" x14ac:dyDescent="0.25">
      <c r="B10705"/>
      <c r="C10705"/>
      <c r="D10705"/>
      <c r="E10705"/>
      <c r="F10705"/>
      <c r="G10705" s="20"/>
      <c r="H10705"/>
      <c r="I10705"/>
    </row>
    <row r="10706" spans="2:9" ht="15" x14ac:dyDescent="0.25">
      <c r="B10706"/>
      <c r="C10706"/>
      <c r="D10706"/>
      <c r="E10706"/>
      <c r="F10706"/>
      <c r="G10706" s="20"/>
      <c r="H10706"/>
      <c r="I10706"/>
    </row>
    <row r="10707" spans="2:9" ht="15" x14ac:dyDescent="0.25">
      <c r="B10707"/>
      <c r="C10707"/>
      <c r="D10707"/>
      <c r="E10707"/>
      <c r="F10707"/>
      <c r="G10707" s="20"/>
      <c r="H10707"/>
      <c r="I10707"/>
    </row>
    <row r="10708" spans="2:9" ht="15" x14ac:dyDescent="0.25">
      <c r="B10708"/>
      <c r="C10708"/>
      <c r="D10708"/>
      <c r="E10708"/>
      <c r="F10708"/>
      <c r="G10708" s="20"/>
      <c r="H10708"/>
      <c r="I10708"/>
    </row>
    <row r="10709" spans="2:9" ht="15" x14ac:dyDescent="0.25">
      <c r="B10709"/>
      <c r="C10709"/>
      <c r="D10709"/>
      <c r="E10709"/>
      <c r="F10709"/>
      <c r="G10709" s="20"/>
      <c r="H10709"/>
      <c r="I10709"/>
    </row>
    <row r="10710" spans="2:9" ht="15" x14ac:dyDescent="0.25">
      <c r="B10710"/>
      <c r="C10710"/>
      <c r="D10710"/>
      <c r="E10710"/>
      <c r="F10710"/>
      <c r="G10710" s="20"/>
      <c r="H10710"/>
      <c r="I10710"/>
    </row>
    <row r="10711" spans="2:9" ht="15" x14ac:dyDescent="0.25">
      <c r="B10711"/>
      <c r="C10711"/>
      <c r="D10711"/>
      <c r="E10711"/>
      <c r="F10711"/>
      <c r="G10711" s="20"/>
      <c r="H10711"/>
      <c r="I10711"/>
    </row>
    <row r="10712" spans="2:9" ht="15" x14ac:dyDescent="0.25">
      <c r="B10712"/>
      <c r="C10712"/>
      <c r="D10712"/>
      <c r="E10712"/>
      <c r="F10712"/>
      <c r="G10712" s="20"/>
      <c r="H10712"/>
      <c r="I10712"/>
    </row>
    <row r="10713" spans="2:9" ht="15" x14ac:dyDescent="0.25">
      <c r="B10713"/>
      <c r="C10713"/>
      <c r="D10713"/>
      <c r="E10713"/>
      <c r="F10713"/>
      <c r="G10713" s="20"/>
      <c r="H10713"/>
      <c r="I10713"/>
    </row>
    <row r="10714" spans="2:9" ht="15" x14ac:dyDescent="0.25">
      <c r="B10714"/>
      <c r="C10714"/>
      <c r="D10714"/>
      <c r="E10714"/>
      <c r="F10714"/>
      <c r="G10714" s="20"/>
      <c r="H10714"/>
      <c r="I10714"/>
    </row>
    <row r="10715" spans="2:9" ht="15" x14ac:dyDescent="0.25">
      <c r="B10715"/>
      <c r="C10715"/>
      <c r="D10715"/>
      <c r="E10715"/>
      <c r="F10715"/>
      <c r="G10715" s="20"/>
      <c r="H10715"/>
      <c r="I10715"/>
    </row>
    <row r="10716" spans="2:9" ht="15" x14ac:dyDescent="0.25">
      <c r="B10716"/>
      <c r="C10716"/>
      <c r="D10716"/>
      <c r="E10716"/>
      <c r="F10716"/>
      <c r="G10716" s="20"/>
      <c r="H10716"/>
      <c r="I10716"/>
    </row>
    <row r="10717" spans="2:9" ht="15" x14ac:dyDescent="0.25">
      <c r="B10717"/>
      <c r="C10717"/>
      <c r="D10717"/>
      <c r="E10717"/>
      <c r="F10717"/>
      <c r="G10717" s="20"/>
      <c r="H10717"/>
      <c r="I10717"/>
    </row>
    <row r="10718" spans="2:9" ht="15" x14ac:dyDescent="0.25">
      <c r="B10718"/>
      <c r="C10718"/>
      <c r="D10718"/>
      <c r="E10718"/>
      <c r="F10718"/>
      <c r="G10718" s="20"/>
      <c r="H10718"/>
      <c r="I10718"/>
    </row>
    <row r="10719" spans="2:9" ht="15" x14ac:dyDescent="0.25">
      <c r="B10719"/>
      <c r="C10719"/>
      <c r="D10719"/>
      <c r="E10719"/>
      <c r="F10719"/>
      <c r="G10719" s="20"/>
      <c r="H10719"/>
      <c r="I10719"/>
    </row>
    <row r="10720" spans="2:9" ht="15" x14ac:dyDescent="0.25">
      <c r="B10720"/>
      <c r="C10720"/>
      <c r="D10720"/>
      <c r="E10720"/>
      <c r="F10720"/>
      <c r="G10720" s="20"/>
      <c r="H10720"/>
      <c r="I10720"/>
    </row>
    <row r="10721" spans="2:9" ht="15" x14ac:dyDescent="0.25">
      <c r="B10721"/>
      <c r="C10721"/>
      <c r="D10721"/>
      <c r="E10721"/>
      <c r="F10721"/>
      <c r="G10721" s="20"/>
      <c r="H10721"/>
      <c r="I10721"/>
    </row>
    <row r="10722" spans="2:9" ht="15" x14ac:dyDescent="0.25">
      <c r="B10722"/>
      <c r="C10722"/>
      <c r="D10722"/>
      <c r="E10722"/>
      <c r="F10722"/>
      <c r="G10722" s="20"/>
      <c r="H10722"/>
      <c r="I10722"/>
    </row>
    <row r="10723" spans="2:9" ht="15" x14ac:dyDescent="0.25">
      <c r="B10723"/>
      <c r="C10723"/>
      <c r="D10723"/>
      <c r="E10723"/>
      <c r="F10723"/>
      <c r="G10723" s="20"/>
      <c r="H10723"/>
      <c r="I10723"/>
    </row>
    <row r="10724" spans="2:9" ht="15" x14ac:dyDescent="0.25">
      <c r="B10724"/>
      <c r="C10724"/>
      <c r="D10724"/>
      <c r="E10724"/>
      <c r="F10724"/>
      <c r="G10724" s="20"/>
      <c r="H10724"/>
      <c r="I10724"/>
    </row>
    <row r="10725" spans="2:9" ht="15" x14ac:dyDescent="0.25">
      <c r="B10725"/>
      <c r="C10725"/>
      <c r="D10725"/>
      <c r="E10725"/>
      <c r="F10725"/>
      <c r="G10725" s="20"/>
      <c r="H10725"/>
      <c r="I10725"/>
    </row>
    <row r="10726" spans="2:9" ht="15" x14ac:dyDescent="0.25">
      <c r="B10726"/>
      <c r="C10726"/>
      <c r="D10726"/>
      <c r="E10726"/>
      <c r="F10726"/>
      <c r="G10726" s="20"/>
      <c r="H10726"/>
      <c r="I10726"/>
    </row>
    <row r="10727" spans="2:9" ht="15" x14ac:dyDescent="0.25">
      <c r="B10727"/>
      <c r="C10727"/>
      <c r="D10727"/>
      <c r="E10727"/>
      <c r="F10727"/>
      <c r="G10727" s="20"/>
      <c r="H10727"/>
      <c r="I10727"/>
    </row>
    <row r="10728" spans="2:9" ht="15" x14ac:dyDescent="0.25">
      <c r="B10728"/>
      <c r="C10728"/>
      <c r="D10728"/>
      <c r="E10728"/>
      <c r="F10728"/>
      <c r="G10728" s="20"/>
      <c r="H10728"/>
      <c r="I10728"/>
    </row>
    <row r="10729" spans="2:9" ht="15" x14ac:dyDescent="0.25">
      <c r="B10729"/>
      <c r="C10729"/>
      <c r="D10729"/>
      <c r="E10729"/>
      <c r="F10729"/>
      <c r="G10729" s="20"/>
      <c r="H10729"/>
      <c r="I10729"/>
    </row>
    <row r="10730" spans="2:9" ht="15" x14ac:dyDescent="0.25">
      <c r="B10730"/>
      <c r="C10730"/>
      <c r="D10730"/>
      <c r="E10730"/>
      <c r="F10730"/>
      <c r="G10730" s="20"/>
      <c r="H10730"/>
      <c r="I10730"/>
    </row>
    <row r="10731" spans="2:9" ht="15" x14ac:dyDescent="0.25">
      <c r="B10731"/>
      <c r="C10731"/>
      <c r="D10731"/>
      <c r="E10731"/>
      <c r="F10731"/>
      <c r="G10731" s="20"/>
      <c r="H10731"/>
      <c r="I10731"/>
    </row>
    <row r="10732" spans="2:9" ht="15" x14ac:dyDescent="0.25">
      <c r="B10732"/>
      <c r="C10732"/>
      <c r="D10732"/>
      <c r="E10732"/>
      <c r="F10732"/>
      <c r="G10732" s="20"/>
      <c r="H10732"/>
      <c r="I10732"/>
    </row>
    <row r="10733" spans="2:9" ht="15" x14ac:dyDescent="0.25">
      <c r="B10733"/>
      <c r="C10733"/>
      <c r="D10733"/>
      <c r="E10733"/>
      <c r="F10733"/>
      <c r="G10733" s="20"/>
      <c r="H10733"/>
      <c r="I10733"/>
    </row>
    <row r="10734" spans="2:9" ht="15" x14ac:dyDescent="0.25">
      <c r="B10734"/>
      <c r="C10734"/>
      <c r="D10734"/>
      <c r="E10734"/>
      <c r="F10734"/>
      <c r="G10734" s="20"/>
      <c r="H10734"/>
      <c r="I10734"/>
    </row>
    <row r="10735" spans="2:9" ht="15" x14ac:dyDescent="0.25">
      <c r="B10735"/>
      <c r="C10735"/>
      <c r="D10735"/>
      <c r="E10735"/>
      <c r="F10735"/>
      <c r="G10735" s="20"/>
      <c r="H10735"/>
      <c r="I10735"/>
    </row>
    <row r="10736" spans="2:9" ht="15" x14ac:dyDescent="0.25">
      <c r="B10736"/>
      <c r="C10736"/>
      <c r="D10736"/>
      <c r="E10736"/>
      <c r="F10736"/>
      <c r="G10736" s="20"/>
      <c r="H10736"/>
      <c r="I10736"/>
    </row>
    <row r="10737" spans="2:9" ht="15" x14ac:dyDescent="0.25">
      <c r="B10737"/>
      <c r="C10737"/>
      <c r="D10737"/>
      <c r="E10737"/>
      <c r="F10737"/>
      <c r="G10737" s="20"/>
      <c r="H10737"/>
      <c r="I10737"/>
    </row>
    <row r="10738" spans="2:9" ht="15" x14ac:dyDescent="0.25">
      <c r="B10738"/>
      <c r="C10738"/>
      <c r="D10738"/>
      <c r="E10738"/>
      <c r="F10738"/>
      <c r="G10738" s="20"/>
      <c r="H10738"/>
      <c r="I10738"/>
    </row>
    <row r="10739" spans="2:9" ht="15" x14ac:dyDescent="0.25">
      <c r="B10739"/>
      <c r="C10739"/>
      <c r="D10739"/>
      <c r="E10739"/>
      <c r="F10739"/>
      <c r="G10739" s="20"/>
      <c r="H10739"/>
      <c r="I10739"/>
    </row>
    <row r="10740" spans="2:9" ht="15" x14ac:dyDescent="0.25">
      <c r="B10740"/>
      <c r="C10740"/>
      <c r="D10740"/>
      <c r="E10740"/>
      <c r="F10740"/>
      <c r="G10740" s="20"/>
      <c r="H10740"/>
      <c r="I10740"/>
    </row>
    <row r="10741" spans="2:9" ht="15" x14ac:dyDescent="0.25">
      <c r="B10741"/>
      <c r="C10741"/>
      <c r="D10741"/>
      <c r="E10741"/>
      <c r="F10741"/>
      <c r="G10741" s="20"/>
      <c r="H10741"/>
      <c r="I10741"/>
    </row>
    <row r="10742" spans="2:9" ht="15" x14ac:dyDescent="0.25">
      <c r="B10742"/>
      <c r="C10742"/>
      <c r="D10742"/>
      <c r="E10742"/>
      <c r="F10742"/>
      <c r="G10742" s="20"/>
      <c r="H10742"/>
      <c r="I10742"/>
    </row>
    <row r="10743" spans="2:9" ht="15" x14ac:dyDescent="0.25">
      <c r="B10743"/>
      <c r="C10743"/>
      <c r="D10743"/>
      <c r="E10743"/>
      <c r="F10743"/>
      <c r="G10743" s="20"/>
      <c r="H10743"/>
      <c r="I10743"/>
    </row>
    <row r="10744" spans="2:9" ht="15" x14ac:dyDescent="0.25">
      <c r="B10744"/>
      <c r="C10744"/>
      <c r="D10744"/>
      <c r="E10744"/>
      <c r="F10744"/>
      <c r="G10744" s="20"/>
      <c r="H10744"/>
      <c r="I10744"/>
    </row>
    <row r="10745" spans="2:9" ht="15" x14ac:dyDescent="0.25">
      <c r="B10745"/>
      <c r="C10745"/>
      <c r="D10745"/>
      <c r="E10745"/>
      <c r="F10745"/>
      <c r="G10745" s="20"/>
      <c r="H10745"/>
      <c r="I10745"/>
    </row>
    <row r="10746" spans="2:9" ht="15" x14ac:dyDescent="0.25">
      <c r="B10746"/>
      <c r="C10746"/>
      <c r="D10746"/>
      <c r="E10746"/>
      <c r="F10746"/>
      <c r="G10746" s="20"/>
      <c r="H10746"/>
      <c r="I10746"/>
    </row>
    <row r="10747" spans="2:9" ht="15" x14ac:dyDescent="0.25">
      <c r="B10747"/>
      <c r="C10747"/>
      <c r="D10747"/>
      <c r="E10747"/>
      <c r="F10747"/>
      <c r="G10747" s="20"/>
      <c r="H10747"/>
      <c r="I10747"/>
    </row>
    <row r="10748" spans="2:9" ht="15" x14ac:dyDescent="0.25">
      <c r="B10748"/>
      <c r="C10748"/>
      <c r="D10748"/>
      <c r="E10748"/>
      <c r="F10748"/>
      <c r="G10748" s="20"/>
      <c r="H10748"/>
      <c r="I10748"/>
    </row>
    <row r="10749" spans="2:9" ht="15" x14ac:dyDescent="0.25">
      <c r="B10749"/>
      <c r="C10749"/>
      <c r="D10749"/>
      <c r="E10749"/>
      <c r="F10749"/>
      <c r="G10749" s="20"/>
      <c r="H10749"/>
      <c r="I10749"/>
    </row>
    <row r="10750" spans="2:9" ht="15" x14ac:dyDescent="0.25">
      <c r="B10750"/>
      <c r="C10750"/>
      <c r="D10750"/>
      <c r="E10750"/>
      <c r="F10750"/>
      <c r="G10750" s="20"/>
      <c r="H10750"/>
      <c r="I10750"/>
    </row>
    <row r="10751" spans="2:9" ht="15" x14ac:dyDescent="0.25">
      <c r="B10751"/>
      <c r="C10751"/>
      <c r="D10751"/>
      <c r="E10751"/>
      <c r="F10751"/>
      <c r="G10751" s="20"/>
      <c r="H10751"/>
      <c r="I10751"/>
    </row>
    <row r="10752" spans="2:9" ht="15" x14ac:dyDescent="0.25">
      <c r="B10752"/>
      <c r="C10752"/>
      <c r="D10752"/>
      <c r="E10752"/>
      <c r="F10752"/>
      <c r="G10752" s="20"/>
      <c r="H10752"/>
      <c r="I10752"/>
    </row>
    <row r="10753" spans="2:9" ht="15" x14ac:dyDescent="0.25">
      <c r="B10753"/>
      <c r="C10753"/>
      <c r="D10753"/>
      <c r="E10753"/>
      <c r="F10753"/>
      <c r="G10753" s="20"/>
      <c r="H10753"/>
      <c r="I10753"/>
    </row>
    <row r="10754" spans="2:9" ht="15" x14ac:dyDescent="0.25">
      <c r="B10754"/>
      <c r="C10754"/>
      <c r="D10754"/>
      <c r="E10754"/>
      <c r="F10754"/>
      <c r="G10754" s="20"/>
      <c r="H10754"/>
      <c r="I10754"/>
    </row>
    <row r="10755" spans="2:9" ht="15" x14ac:dyDescent="0.25">
      <c r="B10755"/>
      <c r="C10755"/>
      <c r="D10755"/>
      <c r="E10755"/>
      <c r="F10755"/>
      <c r="G10755" s="20"/>
      <c r="H10755"/>
      <c r="I10755"/>
    </row>
    <row r="10756" spans="2:9" ht="15" x14ac:dyDescent="0.25">
      <c r="B10756"/>
      <c r="C10756"/>
      <c r="D10756"/>
      <c r="E10756"/>
      <c r="F10756"/>
      <c r="G10756" s="20"/>
      <c r="H10756"/>
      <c r="I10756"/>
    </row>
    <row r="10757" spans="2:9" ht="15" x14ac:dyDescent="0.25">
      <c r="B10757"/>
      <c r="C10757"/>
      <c r="D10757"/>
      <c r="E10757"/>
      <c r="F10757"/>
      <c r="G10757" s="20"/>
      <c r="H10757"/>
      <c r="I10757"/>
    </row>
    <row r="10758" spans="2:9" ht="15" x14ac:dyDescent="0.25">
      <c r="B10758"/>
      <c r="C10758"/>
      <c r="D10758"/>
      <c r="E10758"/>
      <c r="F10758"/>
      <c r="G10758" s="20"/>
      <c r="H10758"/>
      <c r="I10758"/>
    </row>
    <row r="10759" spans="2:9" ht="15" x14ac:dyDescent="0.25">
      <c r="B10759"/>
      <c r="C10759"/>
      <c r="D10759"/>
      <c r="E10759"/>
      <c r="F10759"/>
      <c r="G10759" s="20"/>
      <c r="H10759"/>
      <c r="I10759"/>
    </row>
    <row r="10760" spans="2:9" ht="15" x14ac:dyDescent="0.25">
      <c r="B10760"/>
      <c r="C10760"/>
      <c r="D10760"/>
      <c r="E10760"/>
      <c r="F10760"/>
      <c r="G10760" s="20"/>
      <c r="H10760"/>
      <c r="I10760"/>
    </row>
    <row r="10761" spans="2:9" ht="15" x14ac:dyDescent="0.25">
      <c r="B10761"/>
      <c r="C10761"/>
      <c r="D10761"/>
      <c r="E10761"/>
      <c r="F10761"/>
      <c r="G10761" s="20"/>
      <c r="H10761"/>
      <c r="I10761"/>
    </row>
    <row r="10762" spans="2:9" ht="15" x14ac:dyDescent="0.25">
      <c r="B10762"/>
      <c r="C10762"/>
      <c r="D10762"/>
      <c r="E10762"/>
      <c r="F10762"/>
      <c r="G10762" s="20"/>
      <c r="H10762"/>
      <c r="I10762"/>
    </row>
    <row r="10763" spans="2:9" ht="15" x14ac:dyDescent="0.25">
      <c r="B10763"/>
      <c r="C10763"/>
      <c r="D10763"/>
      <c r="E10763"/>
      <c r="F10763"/>
      <c r="G10763" s="20"/>
      <c r="H10763"/>
      <c r="I10763"/>
    </row>
    <row r="10764" spans="2:9" ht="15" x14ac:dyDescent="0.25">
      <c r="B10764"/>
      <c r="C10764"/>
      <c r="D10764"/>
      <c r="E10764"/>
      <c r="F10764"/>
      <c r="G10764" s="20"/>
      <c r="H10764"/>
      <c r="I10764"/>
    </row>
    <row r="10765" spans="2:9" ht="15" x14ac:dyDescent="0.25">
      <c r="B10765"/>
      <c r="C10765"/>
      <c r="D10765"/>
      <c r="E10765"/>
      <c r="F10765"/>
      <c r="G10765" s="20"/>
      <c r="H10765"/>
      <c r="I10765"/>
    </row>
    <row r="10766" spans="2:9" ht="15" x14ac:dyDescent="0.25">
      <c r="B10766"/>
      <c r="C10766"/>
      <c r="D10766"/>
      <c r="E10766"/>
      <c r="F10766"/>
      <c r="G10766" s="20"/>
      <c r="H10766"/>
      <c r="I10766"/>
    </row>
    <row r="10767" spans="2:9" ht="15" x14ac:dyDescent="0.25">
      <c r="B10767"/>
      <c r="C10767"/>
      <c r="D10767"/>
      <c r="E10767"/>
      <c r="F10767"/>
      <c r="G10767" s="20"/>
      <c r="H10767"/>
      <c r="I10767"/>
    </row>
    <row r="10768" spans="2:9" ht="15" x14ac:dyDescent="0.25">
      <c r="B10768"/>
      <c r="C10768"/>
      <c r="D10768"/>
      <c r="E10768"/>
      <c r="F10768"/>
      <c r="G10768" s="20"/>
      <c r="H10768"/>
      <c r="I10768"/>
    </row>
    <row r="10769" spans="2:9" ht="15" x14ac:dyDescent="0.25">
      <c r="B10769"/>
      <c r="C10769"/>
      <c r="D10769"/>
      <c r="E10769"/>
      <c r="F10769"/>
      <c r="G10769" s="20"/>
      <c r="H10769"/>
      <c r="I10769"/>
    </row>
    <row r="10770" spans="2:9" ht="15" x14ac:dyDescent="0.25">
      <c r="B10770"/>
      <c r="C10770"/>
      <c r="D10770"/>
      <c r="E10770"/>
      <c r="F10770"/>
      <c r="G10770" s="20"/>
      <c r="H10770"/>
      <c r="I10770"/>
    </row>
    <row r="10771" spans="2:9" ht="15" x14ac:dyDescent="0.25">
      <c r="B10771"/>
      <c r="C10771"/>
      <c r="D10771"/>
      <c r="E10771"/>
      <c r="F10771"/>
      <c r="G10771" s="20"/>
      <c r="H10771"/>
      <c r="I10771"/>
    </row>
    <row r="10772" spans="2:9" ht="15" x14ac:dyDescent="0.25">
      <c r="B10772"/>
      <c r="C10772"/>
      <c r="D10772"/>
      <c r="E10772"/>
      <c r="F10772"/>
      <c r="G10772" s="20"/>
      <c r="H10772"/>
      <c r="I10772"/>
    </row>
    <row r="10773" spans="2:9" ht="15" x14ac:dyDescent="0.25">
      <c r="B10773"/>
      <c r="C10773"/>
      <c r="D10773"/>
      <c r="E10773"/>
      <c r="F10773"/>
      <c r="G10773" s="20"/>
      <c r="H10773"/>
      <c r="I10773"/>
    </row>
    <row r="10774" spans="2:9" ht="15" x14ac:dyDescent="0.25">
      <c r="B10774"/>
      <c r="C10774"/>
      <c r="D10774"/>
      <c r="E10774"/>
      <c r="F10774"/>
      <c r="G10774" s="20"/>
      <c r="H10774"/>
      <c r="I10774"/>
    </row>
    <row r="10775" spans="2:9" ht="15" x14ac:dyDescent="0.25">
      <c r="B10775"/>
      <c r="C10775"/>
      <c r="D10775"/>
      <c r="E10775"/>
      <c r="F10775"/>
      <c r="G10775" s="20"/>
      <c r="H10775"/>
      <c r="I10775"/>
    </row>
    <row r="10776" spans="2:9" ht="15" x14ac:dyDescent="0.25">
      <c r="B10776"/>
      <c r="C10776"/>
      <c r="D10776"/>
      <c r="E10776"/>
      <c r="F10776"/>
      <c r="G10776" s="20"/>
      <c r="H10776"/>
      <c r="I10776"/>
    </row>
    <row r="10777" spans="2:9" ht="15" x14ac:dyDescent="0.25">
      <c r="B10777"/>
      <c r="C10777"/>
      <c r="D10777"/>
      <c r="E10777"/>
      <c r="F10777"/>
      <c r="G10777" s="20"/>
      <c r="H10777"/>
      <c r="I10777"/>
    </row>
    <row r="10778" spans="2:9" ht="15" x14ac:dyDescent="0.25">
      <c r="B10778"/>
      <c r="C10778"/>
      <c r="D10778"/>
      <c r="E10778"/>
      <c r="F10778"/>
      <c r="G10778" s="20"/>
      <c r="H10778"/>
      <c r="I10778"/>
    </row>
    <row r="10779" spans="2:9" ht="15" x14ac:dyDescent="0.25">
      <c r="B10779"/>
      <c r="C10779"/>
      <c r="D10779"/>
      <c r="E10779"/>
      <c r="F10779"/>
      <c r="G10779" s="20"/>
      <c r="H10779"/>
      <c r="I10779"/>
    </row>
    <row r="10780" spans="2:9" ht="15" x14ac:dyDescent="0.25">
      <c r="B10780"/>
      <c r="C10780"/>
      <c r="D10780"/>
      <c r="E10780"/>
      <c r="F10780"/>
      <c r="G10780" s="20"/>
      <c r="H10780"/>
      <c r="I10780"/>
    </row>
    <row r="10781" spans="2:9" ht="15" x14ac:dyDescent="0.25">
      <c r="B10781"/>
      <c r="C10781"/>
      <c r="D10781"/>
      <c r="E10781"/>
      <c r="F10781"/>
      <c r="G10781" s="20"/>
      <c r="H10781"/>
      <c r="I10781"/>
    </row>
    <row r="10782" spans="2:9" ht="15" x14ac:dyDescent="0.25">
      <c r="B10782"/>
      <c r="C10782"/>
      <c r="D10782"/>
      <c r="E10782"/>
      <c r="F10782"/>
      <c r="G10782" s="20"/>
      <c r="H10782"/>
      <c r="I10782"/>
    </row>
    <row r="10783" spans="2:9" ht="15" x14ac:dyDescent="0.25">
      <c r="B10783"/>
      <c r="C10783"/>
      <c r="D10783"/>
      <c r="E10783"/>
      <c r="F10783"/>
      <c r="G10783" s="20"/>
      <c r="H10783"/>
      <c r="I10783"/>
    </row>
    <row r="10784" spans="2:9" ht="15" x14ac:dyDescent="0.25">
      <c r="B10784"/>
      <c r="C10784"/>
      <c r="D10784"/>
      <c r="E10784"/>
      <c r="F10784"/>
      <c r="G10784" s="20"/>
      <c r="H10784"/>
      <c r="I10784"/>
    </row>
    <row r="10785" spans="2:9" ht="15" x14ac:dyDescent="0.25">
      <c r="B10785"/>
      <c r="C10785"/>
      <c r="D10785"/>
      <c r="E10785"/>
      <c r="F10785"/>
      <c r="G10785" s="20"/>
      <c r="H10785"/>
      <c r="I10785"/>
    </row>
    <row r="10786" spans="2:9" ht="15" x14ac:dyDescent="0.25">
      <c r="B10786"/>
      <c r="C10786"/>
      <c r="D10786"/>
      <c r="E10786"/>
      <c r="F10786"/>
      <c r="G10786" s="20"/>
      <c r="H10786"/>
      <c r="I10786"/>
    </row>
    <row r="10787" spans="2:9" ht="15" x14ac:dyDescent="0.25">
      <c r="B10787"/>
      <c r="C10787"/>
      <c r="D10787"/>
      <c r="E10787"/>
      <c r="F10787"/>
      <c r="G10787" s="20"/>
      <c r="H10787"/>
      <c r="I10787"/>
    </row>
    <row r="10788" spans="2:9" ht="15" x14ac:dyDescent="0.25">
      <c r="B10788"/>
      <c r="C10788"/>
      <c r="D10788"/>
      <c r="E10788"/>
      <c r="F10788"/>
      <c r="G10788" s="20"/>
      <c r="H10788"/>
      <c r="I10788"/>
    </row>
    <row r="10789" spans="2:9" ht="15" x14ac:dyDescent="0.25">
      <c r="B10789"/>
      <c r="C10789"/>
      <c r="D10789"/>
      <c r="E10789"/>
      <c r="F10789"/>
      <c r="G10789" s="20"/>
      <c r="H10789"/>
      <c r="I10789"/>
    </row>
    <row r="10790" spans="2:9" ht="15" x14ac:dyDescent="0.25">
      <c r="B10790"/>
      <c r="C10790"/>
      <c r="D10790"/>
      <c r="E10790"/>
      <c r="F10790"/>
      <c r="G10790" s="20"/>
      <c r="H10790"/>
      <c r="I10790"/>
    </row>
    <row r="10791" spans="2:9" ht="15" x14ac:dyDescent="0.25">
      <c r="B10791"/>
      <c r="C10791"/>
      <c r="D10791"/>
      <c r="E10791"/>
      <c r="F10791"/>
      <c r="G10791" s="20"/>
      <c r="H10791"/>
      <c r="I10791"/>
    </row>
    <row r="10792" spans="2:9" ht="15" x14ac:dyDescent="0.25">
      <c r="B10792"/>
      <c r="C10792"/>
      <c r="D10792"/>
      <c r="E10792"/>
      <c r="F10792"/>
      <c r="G10792" s="20"/>
      <c r="H10792"/>
      <c r="I10792"/>
    </row>
    <row r="10793" spans="2:9" ht="15" x14ac:dyDescent="0.25">
      <c r="B10793"/>
      <c r="C10793"/>
      <c r="D10793"/>
      <c r="E10793"/>
      <c r="F10793"/>
      <c r="G10793" s="20"/>
      <c r="H10793"/>
      <c r="I10793"/>
    </row>
    <row r="10794" spans="2:9" ht="15" x14ac:dyDescent="0.25">
      <c r="B10794"/>
      <c r="C10794"/>
      <c r="D10794"/>
      <c r="E10794"/>
      <c r="F10794"/>
      <c r="G10794" s="20"/>
      <c r="H10794"/>
      <c r="I10794"/>
    </row>
    <row r="10795" spans="2:9" ht="15" x14ac:dyDescent="0.25">
      <c r="B10795"/>
      <c r="C10795"/>
      <c r="D10795"/>
      <c r="E10795"/>
      <c r="F10795"/>
      <c r="G10795" s="20"/>
      <c r="H10795"/>
      <c r="I10795"/>
    </row>
    <row r="10796" spans="2:9" ht="15" x14ac:dyDescent="0.25">
      <c r="B10796"/>
      <c r="C10796"/>
      <c r="D10796"/>
      <c r="E10796"/>
      <c r="F10796"/>
      <c r="G10796" s="20"/>
      <c r="H10796"/>
      <c r="I10796"/>
    </row>
    <row r="10797" spans="2:9" ht="15" x14ac:dyDescent="0.25">
      <c r="B10797"/>
      <c r="C10797"/>
      <c r="D10797"/>
      <c r="E10797"/>
      <c r="F10797"/>
      <c r="G10797" s="20"/>
      <c r="H10797"/>
      <c r="I10797"/>
    </row>
    <row r="10798" spans="2:9" ht="15" x14ac:dyDescent="0.25">
      <c r="B10798"/>
      <c r="C10798"/>
      <c r="D10798"/>
      <c r="E10798"/>
      <c r="F10798"/>
      <c r="G10798" s="20"/>
      <c r="H10798"/>
      <c r="I10798"/>
    </row>
    <row r="10799" spans="2:9" ht="15" x14ac:dyDescent="0.25">
      <c r="B10799"/>
      <c r="C10799"/>
      <c r="D10799"/>
      <c r="E10799"/>
      <c r="F10799"/>
      <c r="G10799" s="20"/>
      <c r="H10799"/>
      <c r="I10799"/>
    </row>
    <row r="10800" spans="2:9" ht="15" x14ac:dyDescent="0.25">
      <c r="B10800"/>
      <c r="C10800"/>
      <c r="D10800"/>
      <c r="E10800"/>
      <c r="F10800"/>
      <c r="G10800" s="20"/>
      <c r="H10800"/>
      <c r="I10800"/>
    </row>
    <row r="10801" spans="2:9" ht="15" x14ac:dyDescent="0.25">
      <c r="B10801"/>
      <c r="C10801"/>
      <c r="D10801"/>
      <c r="E10801"/>
      <c r="F10801"/>
      <c r="G10801" s="20"/>
      <c r="H10801"/>
      <c r="I10801"/>
    </row>
    <row r="10802" spans="2:9" ht="15" x14ac:dyDescent="0.25">
      <c r="B10802"/>
      <c r="C10802"/>
      <c r="D10802"/>
      <c r="E10802"/>
      <c r="F10802"/>
      <c r="G10802" s="20"/>
      <c r="H10802"/>
      <c r="I10802"/>
    </row>
    <row r="10803" spans="2:9" ht="15" x14ac:dyDescent="0.25">
      <c r="B10803"/>
      <c r="C10803"/>
      <c r="D10803"/>
      <c r="E10803"/>
      <c r="F10803"/>
      <c r="G10803" s="20"/>
      <c r="H10803"/>
      <c r="I10803"/>
    </row>
    <row r="10804" spans="2:9" ht="15" x14ac:dyDescent="0.25">
      <c r="B10804"/>
      <c r="C10804"/>
      <c r="D10804"/>
      <c r="E10804"/>
      <c r="F10804"/>
      <c r="G10804" s="20"/>
      <c r="H10804"/>
      <c r="I10804"/>
    </row>
    <row r="10805" spans="2:9" ht="15" x14ac:dyDescent="0.25">
      <c r="B10805"/>
      <c r="C10805"/>
      <c r="D10805"/>
      <c r="E10805"/>
      <c r="F10805"/>
      <c r="G10805" s="20"/>
      <c r="H10805"/>
      <c r="I10805"/>
    </row>
    <row r="10806" spans="2:9" ht="15" x14ac:dyDescent="0.25">
      <c r="B10806"/>
      <c r="C10806"/>
      <c r="D10806"/>
      <c r="E10806"/>
      <c r="F10806"/>
      <c r="G10806" s="20"/>
      <c r="H10806"/>
      <c r="I10806"/>
    </row>
    <row r="10807" spans="2:9" ht="15" x14ac:dyDescent="0.25">
      <c r="B10807"/>
      <c r="C10807"/>
      <c r="D10807"/>
      <c r="E10807"/>
      <c r="F10807"/>
      <c r="G10807" s="20"/>
      <c r="H10807"/>
      <c r="I10807"/>
    </row>
    <row r="10808" spans="2:9" ht="15" x14ac:dyDescent="0.25">
      <c r="B10808"/>
      <c r="C10808"/>
      <c r="D10808"/>
      <c r="E10808"/>
      <c r="F10808"/>
      <c r="G10808" s="20"/>
      <c r="H10808"/>
      <c r="I10808"/>
    </row>
    <row r="10809" spans="2:9" ht="15" x14ac:dyDescent="0.25">
      <c r="B10809"/>
      <c r="C10809"/>
      <c r="D10809"/>
      <c r="E10809"/>
      <c r="F10809"/>
      <c r="G10809" s="20"/>
      <c r="H10809"/>
      <c r="I10809"/>
    </row>
    <row r="10810" spans="2:9" ht="15" x14ac:dyDescent="0.25">
      <c r="B10810"/>
      <c r="C10810"/>
      <c r="D10810"/>
      <c r="E10810"/>
      <c r="F10810"/>
      <c r="G10810" s="20"/>
      <c r="H10810"/>
      <c r="I10810"/>
    </row>
    <row r="10811" spans="2:9" ht="15" x14ac:dyDescent="0.25">
      <c r="B10811"/>
      <c r="C10811"/>
      <c r="D10811"/>
      <c r="E10811"/>
      <c r="F10811"/>
      <c r="G10811" s="20"/>
      <c r="H10811"/>
      <c r="I10811"/>
    </row>
    <row r="10812" spans="2:9" ht="15" x14ac:dyDescent="0.25">
      <c r="B10812"/>
      <c r="C10812"/>
      <c r="D10812"/>
      <c r="E10812"/>
      <c r="F10812"/>
      <c r="G10812" s="20"/>
      <c r="H10812"/>
      <c r="I10812"/>
    </row>
    <row r="10813" spans="2:9" ht="15" x14ac:dyDescent="0.25">
      <c r="B10813"/>
      <c r="C10813"/>
      <c r="D10813"/>
      <c r="E10813"/>
      <c r="F10813"/>
      <c r="G10813" s="20"/>
      <c r="H10813"/>
      <c r="I10813"/>
    </row>
    <row r="10814" spans="2:9" ht="15" x14ac:dyDescent="0.25">
      <c r="B10814"/>
      <c r="C10814"/>
      <c r="D10814"/>
      <c r="E10814"/>
      <c r="F10814"/>
      <c r="G10814" s="20"/>
      <c r="H10814"/>
      <c r="I10814"/>
    </row>
    <row r="10815" spans="2:9" ht="15" x14ac:dyDescent="0.25">
      <c r="B10815"/>
      <c r="C10815"/>
      <c r="D10815"/>
      <c r="E10815"/>
      <c r="F10815"/>
      <c r="G10815" s="20"/>
      <c r="H10815"/>
      <c r="I10815"/>
    </row>
    <row r="10816" spans="2:9" ht="15" x14ac:dyDescent="0.25">
      <c r="B10816"/>
      <c r="C10816"/>
      <c r="D10816"/>
      <c r="E10816"/>
      <c r="F10816"/>
      <c r="G10816" s="20"/>
      <c r="H10816"/>
      <c r="I10816"/>
    </row>
    <row r="10817" spans="2:9" ht="15" x14ac:dyDescent="0.25">
      <c r="B10817"/>
      <c r="C10817"/>
      <c r="D10817"/>
      <c r="E10817"/>
      <c r="F10817"/>
      <c r="G10817" s="20"/>
      <c r="H10817"/>
      <c r="I10817"/>
    </row>
    <row r="10818" spans="2:9" ht="15" x14ac:dyDescent="0.25">
      <c r="B10818"/>
      <c r="C10818"/>
      <c r="D10818"/>
      <c r="E10818"/>
      <c r="F10818"/>
      <c r="G10818" s="20"/>
      <c r="H10818"/>
      <c r="I10818"/>
    </row>
    <row r="10819" spans="2:9" ht="15" x14ac:dyDescent="0.25">
      <c r="B10819"/>
      <c r="C10819"/>
      <c r="D10819"/>
      <c r="E10819"/>
      <c r="F10819"/>
      <c r="G10819" s="20"/>
      <c r="H10819"/>
      <c r="I10819"/>
    </row>
    <row r="10820" spans="2:9" ht="15" x14ac:dyDescent="0.25">
      <c r="B10820"/>
      <c r="C10820"/>
      <c r="D10820"/>
      <c r="E10820"/>
      <c r="F10820"/>
      <c r="G10820" s="20"/>
      <c r="H10820"/>
      <c r="I10820"/>
    </row>
    <row r="10821" spans="2:9" ht="15" x14ac:dyDescent="0.25">
      <c r="B10821"/>
      <c r="C10821"/>
      <c r="D10821"/>
      <c r="E10821"/>
      <c r="F10821"/>
      <c r="G10821" s="20"/>
      <c r="H10821"/>
      <c r="I10821"/>
    </row>
    <row r="10822" spans="2:9" ht="15" x14ac:dyDescent="0.25">
      <c r="B10822"/>
      <c r="C10822"/>
      <c r="D10822"/>
      <c r="E10822"/>
      <c r="F10822"/>
      <c r="G10822" s="20"/>
      <c r="H10822"/>
      <c r="I10822"/>
    </row>
    <row r="10823" spans="2:9" ht="15" x14ac:dyDescent="0.25">
      <c r="B10823"/>
      <c r="C10823"/>
      <c r="D10823"/>
      <c r="E10823"/>
      <c r="F10823"/>
      <c r="G10823" s="20"/>
      <c r="H10823"/>
      <c r="I10823"/>
    </row>
    <row r="10824" spans="2:9" ht="15" x14ac:dyDescent="0.25">
      <c r="B10824"/>
      <c r="C10824"/>
      <c r="D10824"/>
      <c r="E10824"/>
      <c r="F10824"/>
      <c r="G10824" s="20"/>
      <c r="H10824"/>
      <c r="I10824"/>
    </row>
    <row r="10825" spans="2:9" ht="15" x14ac:dyDescent="0.25">
      <c r="B10825"/>
      <c r="C10825"/>
      <c r="D10825"/>
      <c r="E10825"/>
      <c r="F10825"/>
      <c r="G10825" s="20"/>
      <c r="H10825"/>
      <c r="I10825"/>
    </row>
    <row r="10826" spans="2:9" ht="15" x14ac:dyDescent="0.25">
      <c r="B10826"/>
      <c r="C10826"/>
      <c r="D10826"/>
      <c r="E10826"/>
      <c r="F10826"/>
      <c r="G10826" s="20"/>
      <c r="H10826"/>
      <c r="I10826"/>
    </row>
    <row r="10827" spans="2:9" ht="15" x14ac:dyDescent="0.25">
      <c r="B10827"/>
      <c r="C10827"/>
      <c r="D10827"/>
      <c r="E10827"/>
      <c r="F10827"/>
      <c r="G10827" s="20"/>
      <c r="H10827"/>
      <c r="I10827"/>
    </row>
    <row r="10828" spans="2:9" ht="15" x14ac:dyDescent="0.25">
      <c r="B10828"/>
      <c r="C10828"/>
      <c r="D10828"/>
      <c r="E10828"/>
      <c r="F10828"/>
      <c r="G10828" s="20"/>
      <c r="H10828"/>
      <c r="I10828"/>
    </row>
    <row r="10829" spans="2:9" ht="15" x14ac:dyDescent="0.25">
      <c r="B10829"/>
      <c r="C10829"/>
      <c r="D10829"/>
      <c r="E10829"/>
      <c r="F10829"/>
      <c r="G10829" s="20"/>
      <c r="H10829"/>
      <c r="I10829"/>
    </row>
    <row r="10830" spans="2:9" ht="15" x14ac:dyDescent="0.25">
      <c r="B10830"/>
      <c r="C10830"/>
      <c r="D10830"/>
      <c r="E10830"/>
      <c r="F10830"/>
      <c r="G10830" s="20"/>
      <c r="H10830"/>
      <c r="I10830"/>
    </row>
    <row r="10831" spans="2:9" ht="15" x14ac:dyDescent="0.25">
      <c r="B10831"/>
      <c r="C10831"/>
      <c r="D10831"/>
      <c r="E10831"/>
      <c r="F10831"/>
      <c r="G10831" s="20"/>
      <c r="H10831"/>
      <c r="I10831"/>
    </row>
    <row r="10832" spans="2:9" ht="15" x14ac:dyDescent="0.25">
      <c r="B10832"/>
      <c r="C10832"/>
      <c r="D10832"/>
      <c r="E10832"/>
      <c r="F10832"/>
      <c r="G10832" s="20"/>
      <c r="H10832"/>
      <c r="I10832"/>
    </row>
    <row r="10833" spans="2:9" ht="15" x14ac:dyDescent="0.25">
      <c r="B10833"/>
      <c r="C10833"/>
      <c r="D10833"/>
      <c r="E10833"/>
      <c r="F10833"/>
      <c r="G10833" s="20"/>
      <c r="H10833"/>
      <c r="I10833"/>
    </row>
    <row r="10834" spans="2:9" ht="15" x14ac:dyDescent="0.25">
      <c r="B10834"/>
      <c r="C10834"/>
      <c r="D10834"/>
      <c r="E10834"/>
      <c r="F10834"/>
      <c r="G10834" s="20"/>
      <c r="H10834"/>
      <c r="I10834"/>
    </row>
    <row r="10835" spans="2:9" ht="15" x14ac:dyDescent="0.25">
      <c r="B10835"/>
      <c r="C10835"/>
      <c r="D10835"/>
      <c r="E10835"/>
      <c r="F10835"/>
      <c r="G10835" s="20"/>
      <c r="H10835"/>
      <c r="I10835"/>
    </row>
    <row r="10836" spans="2:9" ht="15" x14ac:dyDescent="0.25">
      <c r="B10836"/>
      <c r="C10836"/>
      <c r="D10836"/>
      <c r="E10836"/>
      <c r="F10836"/>
      <c r="G10836" s="20"/>
      <c r="H10836"/>
      <c r="I10836"/>
    </row>
    <row r="10837" spans="2:9" ht="15" x14ac:dyDescent="0.25">
      <c r="B10837"/>
      <c r="C10837"/>
      <c r="D10837"/>
      <c r="E10837"/>
      <c r="F10837"/>
      <c r="G10837" s="20"/>
      <c r="H10837"/>
      <c r="I10837"/>
    </row>
    <row r="10838" spans="2:9" ht="15" x14ac:dyDescent="0.25">
      <c r="B10838"/>
      <c r="C10838"/>
      <c r="D10838"/>
      <c r="E10838"/>
      <c r="F10838"/>
      <c r="G10838" s="20"/>
      <c r="H10838"/>
      <c r="I10838"/>
    </row>
    <row r="10839" spans="2:9" ht="15" x14ac:dyDescent="0.25">
      <c r="B10839"/>
      <c r="C10839"/>
      <c r="D10839"/>
      <c r="E10839"/>
      <c r="F10839"/>
      <c r="G10839" s="20"/>
      <c r="H10839"/>
      <c r="I10839"/>
    </row>
    <row r="10840" spans="2:9" ht="15" x14ac:dyDescent="0.25">
      <c r="B10840"/>
      <c r="C10840"/>
      <c r="D10840"/>
      <c r="E10840"/>
      <c r="F10840"/>
      <c r="G10840" s="20"/>
      <c r="H10840"/>
      <c r="I10840"/>
    </row>
    <row r="10841" spans="2:9" ht="15" x14ac:dyDescent="0.25">
      <c r="B10841"/>
      <c r="C10841"/>
      <c r="D10841"/>
      <c r="E10841"/>
      <c r="F10841"/>
      <c r="G10841" s="20"/>
      <c r="H10841"/>
      <c r="I10841"/>
    </row>
    <row r="10842" spans="2:9" ht="15" x14ac:dyDescent="0.25">
      <c r="B10842"/>
      <c r="C10842"/>
      <c r="D10842"/>
      <c r="E10842"/>
      <c r="F10842"/>
      <c r="G10842" s="20"/>
      <c r="H10842"/>
      <c r="I10842"/>
    </row>
    <row r="10843" spans="2:9" ht="15" x14ac:dyDescent="0.25">
      <c r="B10843"/>
      <c r="C10843"/>
      <c r="D10843"/>
      <c r="E10843"/>
      <c r="F10843"/>
      <c r="G10843" s="20"/>
      <c r="H10843"/>
      <c r="I10843"/>
    </row>
    <row r="10844" spans="2:9" ht="15" x14ac:dyDescent="0.25">
      <c r="B10844"/>
      <c r="C10844"/>
      <c r="D10844"/>
      <c r="E10844"/>
      <c r="F10844"/>
      <c r="G10844" s="20"/>
      <c r="H10844"/>
      <c r="I10844"/>
    </row>
    <row r="10845" spans="2:9" ht="15" x14ac:dyDescent="0.25">
      <c r="B10845"/>
      <c r="C10845"/>
      <c r="D10845"/>
      <c r="E10845"/>
      <c r="F10845"/>
      <c r="G10845" s="20"/>
      <c r="H10845"/>
      <c r="I10845"/>
    </row>
    <row r="10846" spans="2:9" ht="15" x14ac:dyDescent="0.25">
      <c r="B10846"/>
      <c r="C10846"/>
      <c r="D10846"/>
      <c r="E10846"/>
      <c r="F10846"/>
      <c r="G10846" s="20"/>
      <c r="H10846"/>
      <c r="I10846"/>
    </row>
    <row r="10847" spans="2:9" ht="15" x14ac:dyDescent="0.25">
      <c r="B10847"/>
      <c r="C10847"/>
      <c r="D10847"/>
      <c r="E10847"/>
      <c r="F10847"/>
      <c r="G10847" s="20"/>
      <c r="H10847"/>
      <c r="I10847"/>
    </row>
    <row r="10848" spans="2:9" ht="15" x14ac:dyDescent="0.25">
      <c r="B10848"/>
      <c r="C10848"/>
      <c r="D10848"/>
      <c r="E10848"/>
      <c r="F10848"/>
      <c r="G10848" s="20"/>
      <c r="H10848"/>
      <c r="I10848"/>
    </row>
    <row r="10849" spans="2:9" ht="15" x14ac:dyDescent="0.25">
      <c r="B10849"/>
      <c r="C10849"/>
      <c r="D10849"/>
      <c r="E10849"/>
      <c r="F10849"/>
      <c r="G10849" s="20"/>
      <c r="H10849"/>
      <c r="I10849"/>
    </row>
    <row r="10850" spans="2:9" ht="15" x14ac:dyDescent="0.25">
      <c r="B10850"/>
      <c r="C10850"/>
      <c r="D10850"/>
      <c r="E10850"/>
      <c r="F10850"/>
      <c r="G10850" s="20"/>
      <c r="H10850"/>
      <c r="I10850"/>
    </row>
    <row r="10851" spans="2:9" ht="15" x14ac:dyDescent="0.25">
      <c r="B10851"/>
      <c r="C10851"/>
      <c r="D10851"/>
      <c r="E10851"/>
      <c r="F10851"/>
      <c r="G10851" s="20"/>
      <c r="H10851"/>
      <c r="I10851"/>
    </row>
    <row r="10852" spans="2:9" ht="15" x14ac:dyDescent="0.25">
      <c r="B10852"/>
      <c r="C10852"/>
      <c r="D10852"/>
      <c r="E10852"/>
      <c r="F10852"/>
      <c r="G10852" s="20"/>
      <c r="H10852"/>
      <c r="I10852"/>
    </row>
    <row r="10853" spans="2:9" ht="15" x14ac:dyDescent="0.25">
      <c r="B10853"/>
      <c r="C10853"/>
      <c r="D10853"/>
      <c r="E10853"/>
      <c r="F10853"/>
      <c r="G10853" s="20"/>
      <c r="H10853"/>
      <c r="I10853"/>
    </row>
    <row r="10854" spans="2:9" ht="15" x14ac:dyDescent="0.25">
      <c r="B10854"/>
      <c r="C10854"/>
      <c r="D10854"/>
      <c r="E10854"/>
      <c r="F10854"/>
      <c r="G10854" s="20"/>
      <c r="H10854"/>
      <c r="I10854"/>
    </row>
    <row r="10855" spans="2:9" ht="15" x14ac:dyDescent="0.25">
      <c r="B10855"/>
      <c r="C10855"/>
      <c r="D10855"/>
      <c r="E10855"/>
      <c r="F10855"/>
      <c r="G10855" s="20"/>
      <c r="H10855"/>
      <c r="I10855"/>
    </row>
    <row r="10856" spans="2:9" ht="15" x14ac:dyDescent="0.25">
      <c r="B10856"/>
      <c r="C10856"/>
      <c r="D10856"/>
      <c r="E10856"/>
      <c r="F10856"/>
      <c r="G10856" s="20"/>
      <c r="H10856"/>
      <c r="I10856"/>
    </row>
    <row r="10857" spans="2:9" ht="15" x14ac:dyDescent="0.25">
      <c r="B10857"/>
      <c r="C10857"/>
      <c r="D10857"/>
      <c r="E10857"/>
      <c r="F10857"/>
      <c r="G10857" s="20"/>
      <c r="H10857"/>
      <c r="I10857"/>
    </row>
    <row r="10858" spans="2:9" ht="15" x14ac:dyDescent="0.25">
      <c r="B10858"/>
      <c r="C10858"/>
      <c r="D10858"/>
      <c r="E10858"/>
      <c r="F10858"/>
      <c r="G10858" s="20"/>
      <c r="H10858"/>
      <c r="I10858"/>
    </row>
    <row r="10859" spans="2:9" ht="15" x14ac:dyDescent="0.25">
      <c r="B10859"/>
      <c r="C10859"/>
      <c r="D10859"/>
      <c r="E10859"/>
      <c r="F10859"/>
      <c r="G10859" s="20"/>
      <c r="H10859"/>
      <c r="I10859"/>
    </row>
    <row r="10860" spans="2:9" ht="15" x14ac:dyDescent="0.25">
      <c r="B10860"/>
      <c r="C10860"/>
      <c r="D10860"/>
      <c r="E10860"/>
      <c r="F10860"/>
      <c r="G10860" s="20"/>
      <c r="H10860"/>
      <c r="I10860"/>
    </row>
    <row r="10861" spans="2:9" ht="15" x14ac:dyDescent="0.25">
      <c r="B10861"/>
      <c r="C10861"/>
      <c r="D10861"/>
      <c r="E10861"/>
      <c r="F10861"/>
      <c r="G10861" s="20"/>
      <c r="H10861"/>
      <c r="I10861"/>
    </row>
    <row r="10862" spans="2:9" ht="15" x14ac:dyDescent="0.25">
      <c r="B10862"/>
      <c r="C10862"/>
      <c r="D10862"/>
      <c r="E10862"/>
      <c r="F10862"/>
      <c r="G10862" s="20"/>
      <c r="H10862"/>
      <c r="I10862"/>
    </row>
    <row r="10863" spans="2:9" ht="15" x14ac:dyDescent="0.25">
      <c r="B10863"/>
      <c r="C10863"/>
      <c r="D10863"/>
      <c r="E10863"/>
      <c r="F10863"/>
      <c r="G10863" s="20"/>
      <c r="H10863"/>
      <c r="I10863"/>
    </row>
    <row r="10864" spans="2:9" ht="15" x14ac:dyDescent="0.25">
      <c r="B10864"/>
      <c r="C10864"/>
      <c r="D10864"/>
      <c r="E10864"/>
      <c r="F10864"/>
      <c r="G10864" s="20"/>
      <c r="H10864"/>
      <c r="I10864"/>
    </row>
    <row r="10865" spans="2:9" ht="15" x14ac:dyDescent="0.25">
      <c r="B10865"/>
      <c r="C10865"/>
      <c r="D10865"/>
      <c r="E10865"/>
      <c r="F10865"/>
      <c r="G10865" s="20"/>
      <c r="H10865"/>
      <c r="I10865"/>
    </row>
    <row r="10866" spans="2:9" ht="15" x14ac:dyDescent="0.25">
      <c r="B10866"/>
      <c r="C10866"/>
      <c r="D10866"/>
      <c r="E10866"/>
      <c r="F10866"/>
      <c r="G10866" s="20"/>
      <c r="H10866"/>
      <c r="I10866"/>
    </row>
    <row r="10867" spans="2:9" ht="15" x14ac:dyDescent="0.25">
      <c r="B10867"/>
      <c r="C10867"/>
      <c r="D10867"/>
      <c r="E10867"/>
      <c r="F10867"/>
      <c r="G10867" s="20"/>
      <c r="H10867"/>
      <c r="I10867"/>
    </row>
    <row r="10868" spans="2:9" ht="15" x14ac:dyDescent="0.25">
      <c r="B10868"/>
      <c r="C10868"/>
      <c r="D10868"/>
      <c r="E10868"/>
      <c r="F10868"/>
      <c r="G10868" s="20"/>
      <c r="H10868"/>
      <c r="I10868"/>
    </row>
    <row r="10869" spans="2:9" ht="15" x14ac:dyDescent="0.25">
      <c r="B10869"/>
      <c r="C10869"/>
      <c r="D10869"/>
      <c r="E10869"/>
      <c r="F10869"/>
      <c r="G10869" s="20"/>
      <c r="H10869"/>
      <c r="I10869"/>
    </row>
    <row r="10870" spans="2:9" ht="15" x14ac:dyDescent="0.25">
      <c r="B10870"/>
      <c r="C10870"/>
      <c r="D10870"/>
      <c r="E10870"/>
      <c r="F10870"/>
      <c r="G10870" s="20"/>
      <c r="H10870"/>
      <c r="I10870"/>
    </row>
    <row r="10871" spans="2:9" ht="15" x14ac:dyDescent="0.25">
      <c r="B10871"/>
      <c r="C10871"/>
      <c r="D10871"/>
      <c r="E10871"/>
      <c r="F10871"/>
      <c r="G10871" s="20"/>
      <c r="H10871"/>
      <c r="I10871"/>
    </row>
    <row r="10872" spans="2:9" ht="15" x14ac:dyDescent="0.25">
      <c r="B10872"/>
      <c r="C10872"/>
      <c r="D10872"/>
      <c r="E10872"/>
      <c r="F10872"/>
      <c r="G10872" s="20"/>
      <c r="H10872"/>
      <c r="I10872"/>
    </row>
    <row r="10873" spans="2:9" ht="15" x14ac:dyDescent="0.25">
      <c r="B10873"/>
      <c r="C10873"/>
      <c r="D10873"/>
      <c r="E10873"/>
      <c r="F10873"/>
      <c r="G10873" s="20"/>
      <c r="H10873"/>
      <c r="I10873"/>
    </row>
    <row r="10874" spans="2:9" ht="15" x14ac:dyDescent="0.25">
      <c r="B10874"/>
      <c r="C10874"/>
      <c r="D10874"/>
      <c r="E10874"/>
      <c r="F10874"/>
      <c r="G10874" s="20"/>
      <c r="H10874"/>
      <c r="I10874"/>
    </row>
    <row r="10875" spans="2:9" ht="15" x14ac:dyDescent="0.25">
      <c r="B10875"/>
      <c r="C10875"/>
      <c r="D10875"/>
      <c r="E10875"/>
      <c r="F10875"/>
      <c r="G10875" s="20"/>
      <c r="H10875"/>
      <c r="I10875"/>
    </row>
    <row r="10876" spans="2:9" ht="15" x14ac:dyDescent="0.25">
      <c r="B10876"/>
      <c r="C10876"/>
      <c r="D10876"/>
      <c r="E10876"/>
      <c r="F10876"/>
      <c r="G10876" s="20"/>
      <c r="H10876"/>
      <c r="I10876"/>
    </row>
    <row r="10877" spans="2:9" ht="15" x14ac:dyDescent="0.25">
      <c r="B10877"/>
      <c r="C10877"/>
      <c r="D10877"/>
      <c r="E10877"/>
      <c r="F10877"/>
      <c r="G10877" s="20"/>
      <c r="H10877"/>
      <c r="I10877"/>
    </row>
    <row r="10878" spans="2:9" ht="15" x14ac:dyDescent="0.25">
      <c r="B10878"/>
      <c r="C10878"/>
      <c r="D10878"/>
      <c r="E10878"/>
      <c r="F10878"/>
      <c r="G10878" s="20"/>
      <c r="H10878"/>
      <c r="I10878"/>
    </row>
    <row r="10879" spans="2:9" ht="15" x14ac:dyDescent="0.25">
      <c r="B10879"/>
      <c r="C10879"/>
      <c r="D10879"/>
      <c r="E10879"/>
      <c r="F10879"/>
      <c r="G10879" s="20"/>
      <c r="H10879"/>
      <c r="I10879"/>
    </row>
    <row r="10880" spans="2:9" ht="15" x14ac:dyDescent="0.25">
      <c r="B10880"/>
      <c r="C10880"/>
      <c r="D10880"/>
      <c r="E10880"/>
      <c r="F10880"/>
      <c r="G10880" s="20"/>
      <c r="H10880"/>
      <c r="I10880"/>
    </row>
    <row r="10881" spans="2:9" ht="15" x14ac:dyDescent="0.25">
      <c r="B10881"/>
      <c r="C10881"/>
      <c r="D10881"/>
      <c r="E10881"/>
      <c r="F10881"/>
      <c r="G10881" s="20"/>
      <c r="H10881"/>
      <c r="I10881"/>
    </row>
    <row r="10882" spans="2:9" ht="15" x14ac:dyDescent="0.25">
      <c r="B10882"/>
      <c r="C10882"/>
      <c r="D10882"/>
      <c r="E10882"/>
      <c r="F10882"/>
      <c r="G10882" s="20"/>
      <c r="H10882"/>
      <c r="I10882"/>
    </row>
    <row r="10883" spans="2:9" ht="15" x14ac:dyDescent="0.25">
      <c r="B10883"/>
      <c r="C10883"/>
      <c r="D10883"/>
      <c r="E10883"/>
      <c r="F10883"/>
      <c r="G10883" s="20"/>
      <c r="H10883"/>
      <c r="I10883"/>
    </row>
    <row r="10884" spans="2:9" ht="15" x14ac:dyDescent="0.25">
      <c r="B10884"/>
      <c r="C10884"/>
      <c r="D10884"/>
      <c r="E10884"/>
      <c r="F10884"/>
      <c r="G10884" s="20"/>
      <c r="H10884"/>
      <c r="I10884"/>
    </row>
    <row r="10885" spans="2:9" ht="15" x14ac:dyDescent="0.25">
      <c r="B10885"/>
      <c r="C10885"/>
      <c r="D10885"/>
      <c r="E10885"/>
      <c r="F10885"/>
      <c r="G10885" s="20"/>
      <c r="H10885"/>
      <c r="I10885"/>
    </row>
    <row r="10886" spans="2:9" ht="15" x14ac:dyDescent="0.25">
      <c r="B10886"/>
      <c r="C10886"/>
      <c r="D10886"/>
      <c r="E10886"/>
      <c r="F10886"/>
      <c r="G10886" s="20"/>
      <c r="H10886"/>
      <c r="I10886"/>
    </row>
    <row r="10887" spans="2:9" ht="15" x14ac:dyDescent="0.25">
      <c r="B10887"/>
      <c r="C10887"/>
      <c r="D10887"/>
      <c r="E10887"/>
      <c r="F10887"/>
      <c r="G10887" s="20"/>
      <c r="H10887"/>
      <c r="I10887"/>
    </row>
    <row r="10888" spans="2:9" ht="15" x14ac:dyDescent="0.25">
      <c r="B10888"/>
      <c r="C10888"/>
      <c r="D10888"/>
      <c r="E10888"/>
      <c r="F10888"/>
      <c r="G10888" s="20"/>
      <c r="H10888"/>
      <c r="I10888"/>
    </row>
    <row r="10889" spans="2:9" ht="15" x14ac:dyDescent="0.25">
      <c r="B10889"/>
      <c r="C10889"/>
      <c r="D10889"/>
      <c r="E10889"/>
      <c r="F10889"/>
      <c r="G10889" s="20"/>
      <c r="H10889"/>
      <c r="I10889"/>
    </row>
    <row r="10890" spans="2:9" ht="15" x14ac:dyDescent="0.25">
      <c r="B10890"/>
      <c r="C10890"/>
      <c r="D10890"/>
      <c r="E10890"/>
      <c r="F10890"/>
      <c r="G10890" s="20"/>
      <c r="H10890"/>
      <c r="I10890"/>
    </row>
    <row r="10891" spans="2:9" ht="15" x14ac:dyDescent="0.25">
      <c r="B10891"/>
      <c r="C10891"/>
      <c r="D10891"/>
      <c r="E10891"/>
      <c r="F10891"/>
      <c r="G10891" s="20"/>
      <c r="H10891"/>
      <c r="I10891"/>
    </row>
    <row r="10892" spans="2:9" ht="15" x14ac:dyDescent="0.25">
      <c r="B10892"/>
      <c r="C10892"/>
      <c r="D10892"/>
      <c r="E10892"/>
      <c r="F10892"/>
      <c r="G10892" s="20"/>
      <c r="H10892"/>
      <c r="I10892"/>
    </row>
    <row r="10893" spans="2:9" ht="15" x14ac:dyDescent="0.25">
      <c r="B10893"/>
      <c r="C10893"/>
      <c r="D10893"/>
      <c r="E10893"/>
      <c r="F10893"/>
      <c r="G10893" s="20"/>
      <c r="H10893"/>
      <c r="I10893"/>
    </row>
    <row r="10894" spans="2:9" ht="15" x14ac:dyDescent="0.25">
      <c r="B10894"/>
      <c r="C10894"/>
      <c r="D10894"/>
      <c r="E10894"/>
      <c r="F10894"/>
      <c r="G10894" s="20"/>
      <c r="H10894"/>
      <c r="I10894"/>
    </row>
    <row r="10895" spans="2:9" ht="15" x14ac:dyDescent="0.25">
      <c r="B10895"/>
      <c r="C10895"/>
      <c r="D10895"/>
      <c r="E10895"/>
      <c r="F10895"/>
      <c r="G10895" s="20"/>
      <c r="H10895"/>
      <c r="I10895"/>
    </row>
    <row r="10896" spans="2:9" ht="15" x14ac:dyDescent="0.25">
      <c r="B10896"/>
      <c r="C10896"/>
      <c r="D10896"/>
      <c r="E10896"/>
      <c r="F10896"/>
      <c r="G10896" s="20"/>
      <c r="H10896"/>
      <c r="I10896"/>
    </row>
    <row r="10897" spans="2:9" ht="15" x14ac:dyDescent="0.25">
      <c r="B10897"/>
      <c r="C10897"/>
      <c r="D10897"/>
      <c r="E10897"/>
      <c r="F10897"/>
      <c r="G10897" s="20"/>
      <c r="H10897"/>
      <c r="I10897"/>
    </row>
    <row r="10898" spans="2:9" ht="15" x14ac:dyDescent="0.25">
      <c r="B10898"/>
      <c r="C10898"/>
      <c r="D10898"/>
      <c r="E10898"/>
      <c r="F10898"/>
      <c r="G10898" s="20"/>
      <c r="H10898"/>
      <c r="I10898"/>
    </row>
    <row r="10899" spans="2:9" ht="15" x14ac:dyDescent="0.25">
      <c r="B10899"/>
      <c r="C10899"/>
      <c r="D10899"/>
      <c r="E10899"/>
      <c r="F10899"/>
      <c r="G10899" s="20"/>
      <c r="H10899"/>
      <c r="I10899"/>
    </row>
    <row r="10900" spans="2:9" ht="15" x14ac:dyDescent="0.25">
      <c r="B10900"/>
      <c r="C10900"/>
      <c r="D10900"/>
      <c r="E10900"/>
      <c r="F10900"/>
      <c r="G10900" s="20"/>
      <c r="H10900"/>
      <c r="I10900"/>
    </row>
    <row r="10901" spans="2:9" ht="15" x14ac:dyDescent="0.25">
      <c r="B10901"/>
      <c r="C10901"/>
      <c r="D10901"/>
      <c r="E10901"/>
      <c r="F10901"/>
      <c r="G10901" s="20"/>
      <c r="H10901"/>
      <c r="I10901"/>
    </row>
    <row r="10902" spans="2:9" ht="15" x14ac:dyDescent="0.25">
      <c r="B10902"/>
      <c r="C10902"/>
      <c r="D10902"/>
      <c r="E10902"/>
      <c r="F10902"/>
      <c r="G10902" s="20"/>
      <c r="H10902"/>
      <c r="I10902"/>
    </row>
    <row r="10903" spans="2:9" ht="15" x14ac:dyDescent="0.25">
      <c r="B10903"/>
      <c r="C10903"/>
      <c r="D10903"/>
      <c r="E10903"/>
      <c r="F10903"/>
      <c r="G10903" s="20"/>
      <c r="H10903"/>
      <c r="I10903"/>
    </row>
    <row r="10904" spans="2:9" ht="15" x14ac:dyDescent="0.25">
      <c r="B10904"/>
      <c r="C10904"/>
      <c r="D10904"/>
      <c r="E10904"/>
      <c r="F10904"/>
      <c r="G10904" s="20"/>
      <c r="H10904"/>
      <c r="I10904"/>
    </row>
    <row r="10905" spans="2:9" ht="15" x14ac:dyDescent="0.25">
      <c r="B10905"/>
      <c r="C10905"/>
      <c r="D10905"/>
      <c r="E10905"/>
      <c r="F10905"/>
      <c r="G10905" s="20"/>
      <c r="H10905"/>
      <c r="I10905"/>
    </row>
    <row r="10906" spans="2:9" ht="15" x14ac:dyDescent="0.25">
      <c r="B10906"/>
      <c r="C10906"/>
      <c r="D10906"/>
      <c r="E10906"/>
      <c r="F10906"/>
      <c r="G10906" s="20"/>
      <c r="H10906"/>
      <c r="I10906"/>
    </row>
    <row r="10907" spans="2:9" ht="15" x14ac:dyDescent="0.25">
      <c r="B10907"/>
      <c r="C10907"/>
      <c r="D10907"/>
      <c r="E10907"/>
      <c r="F10907"/>
      <c r="G10907" s="20"/>
      <c r="H10907"/>
      <c r="I10907"/>
    </row>
    <row r="10908" spans="2:9" ht="15" x14ac:dyDescent="0.25">
      <c r="B10908"/>
      <c r="C10908"/>
      <c r="D10908"/>
      <c r="E10908"/>
      <c r="F10908"/>
      <c r="G10908" s="20"/>
      <c r="H10908"/>
      <c r="I10908"/>
    </row>
    <row r="10909" spans="2:9" ht="15" x14ac:dyDescent="0.25">
      <c r="B10909"/>
      <c r="C10909"/>
      <c r="D10909"/>
      <c r="E10909"/>
      <c r="F10909"/>
      <c r="G10909" s="20"/>
      <c r="H10909"/>
      <c r="I10909"/>
    </row>
    <row r="10910" spans="2:9" ht="15" x14ac:dyDescent="0.25">
      <c r="B10910"/>
      <c r="C10910"/>
      <c r="D10910"/>
      <c r="E10910"/>
      <c r="F10910"/>
      <c r="G10910" s="20"/>
      <c r="H10910"/>
      <c r="I10910"/>
    </row>
    <row r="10911" spans="2:9" ht="15" x14ac:dyDescent="0.25">
      <c r="B10911"/>
      <c r="C10911"/>
      <c r="D10911"/>
      <c r="E10911"/>
      <c r="F10911"/>
      <c r="G10911" s="20"/>
      <c r="H10911"/>
      <c r="I10911"/>
    </row>
    <row r="10912" spans="2:9" ht="15" x14ac:dyDescent="0.25">
      <c r="B10912"/>
      <c r="C10912"/>
      <c r="D10912"/>
      <c r="E10912"/>
      <c r="F10912"/>
      <c r="G10912" s="20"/>
      <c r="H10912"/>
      <c r="I10912"/>
    </row>
    <row r="10913" spans="2:9" ht="15" x14ac:dyDescent="0.25">
      <c r="B10913"/>
      <c r="C10913"/>
      <c r="D10913"/>
      <c r="E10913"/>
      <c r="F10913"/>
      <c r="G10913" s="20"/>
      <c r="H10913"/>
      <c r="I10913"/>
    </row>
    <row r="10914" spans="2:9" ht="15" x14ac:dyDescent="0.25">
      <c r="B10914"/>
      <c r="C10914"/>
      <c r="D10914"/>
      <c r="E10914"/>
      <c r="F10914"/>
      <c r="G10914" s="20"/>
      <c r="H10914"/>
      <c r="I10914"/>
    </row>
    <row r="10915" spans="2:9" ht="15" x14ac:dyDescent="0.25">
      <c r="B10915"/>
      <c r="C10915"/>
      <c r="D10915"/>
      <c r="E10915"/>
      <c r="F10915"/>
      <c r="G10915" s="20"/>
      <c r="H10915"/>
      <c r="I10915"/>
    </row>
    <row r="10916" spans="2:9" ht="15" x14ac:dyDescent="0.25">
      <c r="B10916"/>
      <c r="C10916"/>
      <c r="D10916"/>
      <c r="E10916"/>
      <c r="F10916"/>
      <c r="G10916" s="20"/>
      <c r="H10916"/>
      <c r="I10916"/>
    </row>
    <row r="10917" spans="2:9" ht="15" x14ac:dyDescent="0.25">
      <c r="B10917"/>
      <c r="C10917"/>
      <c r="D10917"/>
      <c r="E10917"/>
      <c r="F10917"/>
      <c r="G10917" s="20"/>
      <c r="H10917"/>
      <c r="I10917"/>
    </row>
    <row r="10918" spans="2:9" ht="15" x14ac:dyDescent="0.25">
      <c r="B10918"/>
      <c r="C10918"/>
      <c r="D10918"/>
      <c r="E10918"/>
      <c r="F10918"/>
      <c r="G10918" s="20"/>
      <c r="H10918"/>
      <c r="I10918"/>
    </row>
    <row r="10919" spans="2:9" ht="15" x14ac:dyDescent="0.25">
      <c r="B10919"/>
      <c r="C10919"/>
      <c r="D10919"/>
      <c r="E10919"/>
      <c r="F10919"/>
      <c r="G10919" s="20"/>
      <c r="H10919"/>
      <c r="I10919"/>
    </row>
    <row r="10920" spans="2:9" ht="15" x14ac:dyDescent="0.25">
      <c r="B10920"/>
      <c r="C10920"/>
      <c r="D10920"/>
      <c r="E10920"/>
      <c r="F10920"/>
      <c r="G10920" s="20"/>
      <c r="H10920"/>
      <c r="I10920"/>
    </row>
    <row r="10921" spans="2:9" ht="15" x14ac:dyDescent="0.25">
      <c r="B10921"/>
      <c r="C10921"/>
      <c r="D10921"/>
      <c r="E10921"/>
      <c r="F10921"/>
      <c r="G10921" s="20"/>
      <c r="H10921"/>
      <c r="I10921"/>
    </row>
    <row r="10922" spans="2:9" ht="15" x14ac:dyDescent="0.25">
      <c r="B10922"/>
      <c r="C10922"/>
      <c r="D10922"/>
      <c r="E10922"/>
      <c r="F10922"/>
      <c r="G10922" s="20"/>
      <c r="H10922"/>
      <c r="I10922"/>
    </row>
    <row r="10923" spans="2:9" ht="15" x14ac:dyDescent="0.25">
      <c r="B10923"/>
      <c r="C10923"/>
      <c r="D10923"/>
      <c r="E10923"/>
      <c r="F10923"/>
      <c r="G10923" s="20"/>
      <c r="H10923"/>
      <c r="I10923"/>
    </row>
    <row r="10924" spans="2:9" ht="15" x14ac:dyDescent="0.25">
      <c r="B10924"/>
      <c r="C10924"/>
      <c r="D10924"/>
      <c r="E10924"/>
      <c r="F10924"/>
      <c r="G10924" s="20"/>
      <c r="H10924"/>
      <c r="I10924"/>
    </row>
    <row r="10925" spans="2:9" ht="15" x14ac:dyDescent="0.25">
      <c r="B10925"/>
      <c r="C10925"/>
      <c r="D10925"/>
      <c r="E10925"/>
      <c r="F10925"/>
      <c r="G10925" s="20"/>
      <c r="H10925"/>
      <c r="I10925"/>
    </row>
    <row r="10926" spans="2:9" ht="15" x14ac:dyDescent="0.25">
      <c r="B10926"/>
      <c r="C10926"/>
      <c r="D10926"/>
      <c r="E10926"/>
      <c r="F10926"/>
      <c r="G10926" s="20"/>
      <c r="H10926"/>
      <c r="I10926"/>
    </row>
    <row r="10927" spans="2:9" ht="15" x14ac:dyDescent="0.25">
      <c r="B10927"/>
      <c r="C10927"/>
      <c r="D10927"/>
      <c r="E10927"/>
      <c r="F10927"/>
      <c r="G10927" s="20"/>
      <c r="H10927"/>
      <c r="I10927"/>
    </row>
    <row r="10928" spans="2:9" ht="15" x14ac:dyDescent="0.25">
      <c r="B10928"/>
      <c r="C10928"/>
      <c r="D10928"/>
      <c r="E10928"/>
      <c r="F10928"/>
      <c r="G10928" s="20"/>
      <c r="H10928"/>
      <c r="I10928"/>
    </row>
    <row r="10929" spans="2:9" ht="15" x14ac:dyDescent="0.25">
      <c r="B10929"/>
      <c r="C10929"/>
      <c r="D10929"/>
      <c r="E10929"/>
      <c r="F10929"/>
      <c r="G10929" s="20"/>
      <c r="H10929"/>
      <c r="I10929"/>
    </row>
    <row r="10930" spans="2:9" ht="15" x14ac:dyDescent="0.25">
      <c r="B10930"/>
      <c r="C10930"/>
      <c r="D10930"/>
      <c r="E10930"/>
      <c r="F10930"/>
      <c r="G10930" s="20"/>
      <c r="H10930"/>
      <c r="I10930"/>
    </row>
    <row r="10931" spans="2:9" ht="15" x14ac:dyDescent="0.25">
      <c r="B10931"/>
      <c r="C10931"/>
      <c r="D10931"/>
      <c r="E10931"/>
      <c r="F10931"/>
      <c r="G10931" s="20"/>
      <c r="H10931"/>
      <c r="I10931"/>
    </row>
    <row r="10932" spans="2:9" ht="15" x14ac:dyDescent="0.25">
      <c r="B10932"/>
      <c r="C10932"/>
      <c r="D10932"/>
      <c r="E10932"/>
      <c r="F10932"/>
      <c r="G10932" s="20"/>
      <c r="H10932"/>
      <c r="I10932"/>
    </row>
    <row r="10933" spans="2:9" ht="15" x14ac:dyDescent="0.25">
      <c r="B10933"/>
      <c r="C10933"/>
      <c r="D10933"/>
      <c r="E10933"/>
      <c r="F10933"/>
      <c r="G10933" s="20"/>
      <c r="H10933"/>
      <c r="I10933"/>
    </row>
    <row r="10934" spans="2:9" ht="15" x14ac:dyDescent="0.25">
      <c r="B10934"/>
      <c r="C10934"/>
      <c r="D10934"/>
      <c r="E10934"/>
      <c r="F10934"/>
      <c r="G10934" s="20"/>
      <c r="H10934"/>
      <c r="I10934"/>
    </row>
    <row r="10935" spans="2:9" ht="15" x14ac:dyDescent="0.25">
      <c r="B10935"/>
      <c r="C10935"/>
      <c r="D10935"/>
      <c r="E10935"/>
      <c r="F10935"/>
      <c r="G10935" s="20"/>
      <c r="H10935"/>
      <c r="I10935"/>
    </row>
    <row r="10936" spans="2:9" ht="15" x14ac:dyDescent="0.25">
      <c r="B10936"/>
      <c r="C10936"/>
      <c r="D10936"/>
      <c r="E10936"/>
      <c r="F10936"/>
      <c r="G10936" s="20"/>
      <c r="H10936"/>
      <c r="I10936"/>
    </row>
    <row r="10937" spans="2:9" ht="15" x14ac:dyDescent="0.25">
      <c r="B10937"/>
      <c r="C10937"/>
      <c r="D10937"/>
      <c r="E10937"/>
      <c r="F10937"/>
      <c r="G10937" s="20"/>
      <c r="H10937"/>
      <c r="I10937"/>
    </row>
    <row r="10938" spans="2:9" ht="15" x14ac:dyDescent="0.25">
      <c r="B10938"/>
      <c r="C10938"/>
      <c r="D10938"/>
      <c r="E10938"/>
      <c r="F10938"/>
      <c r="G10938" s="20"/>
      <c r="H10938"/>
      <c r="I10938"/>
    </row>
    <row r="10939" spans="2:9" ht="15" x14ac:dyDescent="0.25">
      <c r="B10939"/>
      <c r="C10939"/>
      <c r="D10939"/>
      <c r="E10939"/>
      <c r="F10939"/>
      <c r="G10939" s="20"/>
      <c r="H10939"/>
      <c r="I10939"/>
    </row>
    <row r="10940" spans="2:9" ht="15" x14ac:dyDescent="0.25">
      <c r="B10940"/>
      <c r="C10940"/>
      <c r="D10940"/>
      <c r="E10940"/>
      <c r="F10940"/>
      <c r="G10940" s="20"/>
      <c r="H10940"/>
      <c r="I10940"/>
    </row>
    <row r="10941" spans="2:9" ht="15" x14ac:dyDescent="0.25">
      <c r="B10941"/>
      <c r="C10941"/>
      <c r="D10941"/>
      <c r="E10941"/>
      <c r="F10941"/>
      <c r="G10941" s="20"/>
      <c r="H10941"/>
      <c r="I10941"/>
    </row>
    <row r="10942" spans="2:9" ht="15" x14ac:dyDescent="0.25">
      <c r="B10942"/>
      <c r="C10942"/>
      <c r="D10942"/>
      <c r="E10942"/>
      <c r="F10942"/>
      <c r="G10942" s="20"/>
      <c r="H10942"/>
      <c r="I10942"/>
    </row>
    <row r="10943" spans="2:9" ht="15" x14ac:dyDescent="0.25">
      <c r="B10943"/>
      <c r="C10943"/>
      <c r="D10943"/>
      <c r="E10943"/>
      <c r="F10943"/>
      <c r="G10943" s="20"/>
      <c r="H10943"/>
      <c r="I10943"/>
    </row>
    <row r="10944" spans="2:9" ht="15" x14ac:dyDescent="0.25">
      <c r="B10944"/>
      <c r="C10944"/>
      <c r="D10944"/>
      <c r="E10944"/>
      <c r="F10944"/>
      <c r="G10944" s="20"/>
      <c r="H10944"/>
      <c r="I10944"/>
    </row>
    <row r="10945" spans="2:9" ht="15" x14ac:dyDescent="0.25">
      <c r="B10945"/>
      <c r="C10945"/>
      <c r="D10945"/>
      <c r="E10945"/>
      <c r="F10945"/>
      <c r="G10945" s="20"/>
      <c r="H10945"/>
      <c r="I10945"/>
    </row>
    <row r="10946" spans="2:9" ht="15" x14ac:dyDescent="0.25">
      <c r="B10946"/>
      <c r="C10946"/>
      <c r="D10946"/>
      <c r="E10946"/>
      <c r="F10946"/>
      <c r="G10946" s="20"/>
      <c r="H10946"/>
      <c r="I10946"/>
    </row>
    <row r="10947" spans="2:9" ht="15" x14ac:dyDescent="0.25">
      <c r="B10947"/>
      <c r="C10947"/>
      <c r="D10947"/>
      <c r="E10947"/>
      <c r="F10947"/>
      <c r="G10947" s="20"/>
      <c r="H10947"/>
      <c r="I10947"/>
    </row>
    <row r="10948" spans="2:9" ht="15" x14ac:dyDescent="0.25">
      <c r="B10948"/>
      <c r="C10948"/>
      <c r="D10948"/>
      <c r="E10948"/>
      <c r="F10948"/>
      <c r="G10948" s="20"/>
      <c r="H10948"/>
      <c r="I10948"/>
    </row>
    <row r="10949" spans="2:9" ht="15" x14ac:dyDescent="0.25">
      <c r="B10949"/>
      <c r="C10949"/>
      <c r="D10949"/>
      <c r="E10949"/>
      <c r="F10949"/>
      <c r="G10949" s="20"/>
      <c r="H10949"/>
      <c r="I10949"/>
    </row>
    <row r="10950" spans="2:9" ht="15" x14ac:dyDescent="0.25">
      <c r="B10950"/>
      <c r="C10950"/>
      <c r="D10950"/>
      <c r="E10950"/>
      <c r="F10950"/>
      <c r="G10950" s="20"/>
      <c r="H10950"/>
      <c r="I10950"/>
    </row>
    <row r="10951" spans="2:9" ht="15" x14ac:dyDescent="0.25">
      <c r="B10951"/>
      <c r="C10951"/>
      <c r="D10951"/>
      <c r="E10951"/>
      <c r="F10951"/>
      <c r="G10951" s="20"/>
      <c r="H10951"/>
      <c r="I10951"/>
    </row>
    <row r="10952" spans="2:9" ht="15" x14ac:dyDescent="0.25">
      <c r="B10952"/>
      <c r="C10952"/>
      <c r="D10952"/>
      <c r="E10952"/>
      <c r="F10952"/>
      <c r="G10952" s="20"/>
      <c r="H10952"/>
      <c r="I10952"/>
    </row>
    <row r="10953" spans="2:9" ht="15" x14ac:dyDescent="0.25">
      <c r="B10953"/>
      <c r="C10953"/>
      <c r="D10953"/>
      <c r="E10953"/>
      <c r="F10953"/>
      <c r="G10953" s="20"/>
      <c r="H10953"/>
      <c r="I10953"/>
    </row>
    <row r="10954" spans="2:9" ht="15" x14ac:dyDescent="0.25">
      <c r="B10954"/>
      <c r="C10954"/>
      <c r="D10954"/>
      <c r="E10954"/>
      <c r="F10954"/>
      <c r="G10954" s="20"/>
      <c r="H10954"/>
      <c r="I10954"/>
    </row>
    <row r="10955" spans="2:9" ht="15" x14ac:dyDescent="0.25">
      <c r="B10955"/>
      <c r="C10955"/>
      <c r="D10955"/>
      <c r="E10955"/>
      <c r="F10955"/>
      <c r="G10955" s="20"/>
      <c r="H10955"/>
      <c r="I10955"/>
    </row>
    <row r="10956" spans="2:9" ht="15" x14ac:dyDescent="0.25">
      <c r="B10956"/>
      <c r="C10956"/>
      <c r="D10956"/>
      <c r="E10956"/>
      <c r="F10956"/>
      <c r="G10956" s="20"/>
      <c r="H10956"/>
      <c r="I10956"/>
    </row>
    <row r="10957" spans="2:9" ht="15" x14ac:dyDescent="0.25">
      <c r="B10957"/>
      <c r="C10957"/>
      <c r="D10957"/>
      <c r="E10957"/>
      <c r="F10957"/>
      <c r="G10957" s="20"/>
      <c r="H10957"/>
      <c r="I10957"/>
    </row>
    <row r="10958" spans="2:9" ht="15" x14ac:dyDescent="0.25">
      <c r="B10958"/>
      <c r="C10958"/>
      <c r="D10958"/>
      <c r="E10958"/>
      <c r="F10958"/>
      <c r="G10958" s="20"/>
      <c r="H10958"/>
      <c r="I10958"/>
    </row>
    <row r="10959" spans="2:9" ht="15" x14ac:dyDescent="0.25">
      <c r="B10959"/>
      <c r="C10959"/>
      <c r="D10959"/>
      <c r="E10959"/>
      <c r="F10959"/>
      <c r="G10959" s="20"/>
      <c r="H10959"/>
      <c r="I10959"/>
    </row>
    <row r="10960" spans="2:9" ht="15" x14ac:dyDescent="0.25">
      <c r="B10960"/>
      <c r="C10960"/>
      <c r="D10960"/>
      <c r="E10960"/>
      <c r="F10960"/>
      <c r="G10960" s="20"/>
      <c r="H10960"/>
      <c r="I10960"/>
    </row>
    <row r="10961" spans="2:9" ht="15" x14ac:dyDescent="0.25">
      <c r="B10961"/>
      <c r="C10961"/>
      <c r="D10961"/>
      <c r="E10961"/>
      <c r="F10961"/>
      <c r="G10961" s="20"/>
      <c r="H10961"/>
      <c r="I10961"/>
    </row>
    <row r="10962" spans="2:9" ht="15" x14ac:dyDescent="0.25">
      <c r="B10962"/>
      <c r="C10962"/>
      <c r="D10962"/>
      <c r="E10962"/>
      <c r="F10962"/>
      <c r="G10962" s="20"/>
      <c r="H10962"/>
      <c r="I10962"/>
    </row>
    <row r="10963" spans="2:9" ht="15" x14ac:dyDescent="0.25">
      <c r="B10963"/>
      <c r="C10963"/>
      <c r="D10963"/>
      <c r="E10963"/>
      <c r="F10963"/>
      <c r="G10963" s="20"/>
      <c r="H10963"/>
      <c r="I10963"/>
    </row>
    <row r="10964" spans="2:9" ht="15" x14ac:dyDescent="0.25">
      <c r="B10964"/>
      <c r="C10964"/>
      <c r="D10964"/>
      <c r="E10964"/>
      <c r="F10964"/>
      <c r="G10964" s="20"/>
      <c r="H10964"/>
      <c r="I10964"/>
    </row>
    <row r="10965" spans="2:9" ht="15" x14ac:dyDescent="0.25">
      <c r="B10965"/>
      <c r="C10965"/>
      <c r="D10965"/>
      <c r="E10965"/>
      <c r="F10965"/>
      <c r="G10965" s="20"/>
      <c r="H10965"/>
      <c r="I10965"/>
    </row>
    <row r="10966" spans="2:9" ht="15" x14ac:dyDescent="0.25">
      <c r="B10966"/>
      <c r="C10966"/>
      <c r="D10966"/>
      <c r="E10966"/>
      <c r="F10966"/>
      <c r="G10966" s="20"/>
      <c r="H10966"/>
      <c r="I10966"/>
    </row>
    <row r="10967" spans="2:9" ht="15" x14ac:dyDescent="0.25">
      <c r="B10967"/>
      <c r="C10967"/>
      <c r="D10967"/>
      <c r="E10967"/>
      <c r="F10967"/>
      <c r="G10967" s="20"/>
      <c r="H10967"/>
      <c r="I10967"/>
    </row>
    <row r="10968" spans="2:9" ht="15" x14ac:dyDescent="0.25">
      <c r="B10968"/>
      <c r="C10968"/>
      <c r="D10968"/>
      <c r="E10968"/>
      <c r="F10968"/>
      <c r="G10968" s="20"/>
      <c r="H10968"/>
      <c r="I10968"/>
    </row>
    <row r="10969" spans="2:9" ht="15" x14ac:dyDescent="0.25">
      <c r="B10969"/>
      <c r="C10969"/>
      <c r="D10969"/>
      <c r="E10969"/>
      <c r="F10969"/>
      <c r="G10969" s="20"/>
      <c r="H10969"/>
      <c r="I10969"/>
    </row>
    <row r="10970" spans="2:9" ht="15" x14ac:dyDescent="0.25">
      <c r="B10970"/>
      <c r="C10970"/>
      <c r="D10970"/>
      <c r="E10970"/>
      <c r="F10970"/>
      <c r="G10970" s="20"/>
      <c r="H10970"/>
      <c r="I10970"/>
    </row>
    <row r="10971" spans="2:9" ht="15" x14ac:dyDescent="0.25">
      <c r="B10971"/>
      <c r="C10971"/>
      <c r="D10971"/>
      <c r="E10971"/>
      <c r="F10971"/>
      <c r="G10971" s="20"/>
      <c r="H10971"/>
      <c r="I10971"/>
    </row>
    <row r="10972" spans="2:9" ht="15" x14ac:dyDescent="0.25">
      <c r="B10972"/>
      <c r="C10972"/>
      <c r="D10972"/>
      <c r="E10972"/>
      <c r="F10972"/>
      <c r="G10972" s="20"/>
      <c r="H10972"/>
      <c r="I10972"/>
    </row>
    <row r="10973" spans="2:9" ht="15" x14ac:dyDescent="0.25">
      <c r="B10973"/>
      <c r="C10973"/>
      <c r="D10973"/>
      <c r="E10973"/>
      <c r="F10973"/>
      <c r="G10973" s="20"/>
      <c r="H10973"/>
      <c r="I10973"/>
    </row>
    <row r="10974" spans="2:9" ht="15" x14ac:dyDescent="0.25">
      <c r="B10974"/>
      <c r="C10974"/>
      <c r="D10974"/>
      <c r="E10974"/>
      <c r="F10974"/>
      <c r="G10974" s="20"/>
      <c r="H10974"/>
      <c r="I10974"/>
    </row>
    <row r="10975" spans="2:9" ht="15" x14ac:dyDescent="0.25">
      <c r="B10975"/>
      <c r="C10975"/>
      <c r="D10975"/>
      <c r="E10975"/>
      <c r="F10975"/>
      <c r="G10975" s="20"/>
      <c r="H10975"/>
      <c r="I10975"/>
    </row>
    <row r="10976" spans="2:9" ht="15" x14ac:dyDescent="0.25">
      <c r="B10976"/>
      <c r="C10976"/>
      <c r="D10976"/>
      <c r="E10976"/>
      <c r="F10976"/>
      <c r="G10976" s="20"/>
      <c r="H10976"/>
      <c r="I10976"/>
    </row>
    <row r="10977" spans="2:9" ht="15" x14ac:dyDescent="0.25">
      <c r="B10977"/>
      <c r="C10977"/>
      <c r="D10977"/>
      <c r="E10977"/>
      <c r="F10977"/>
      <c r="G10977" s="20"/>
      <c r="H10977"/>
      <c r="I10977"/>
    </row>
    <row r="10978" spans="2:9" ht="15" x14ac:dyDescent="0.25">
      <c r="B10978"/>
      <c r="C10978"/>
      <c r="D10978"/>
      <c r="E10978"/>
      <c r="F10978"/>
      <c r="G10978" s="20"/>
      <c r="H10978"/>
      <c r="I10978"/>
    </row>
    <row r="10979" spans="2:9" ht="15" x14ac:dyDescent="0.25">
      <c r="B10979"/>
      <c r="C10979"/>
      <c r="D10979"/>
      <c r="E10979"/>
      <c r="F10979"/>
      <c r="G10979" s="20"/>
      <c r="H10979"/>
      <c r="I10979"/>
    </row>
    <row r="10980" spans="2:9" ht="15" x14ac:dyDescent="0.25">
      <c r="B10980"/>
      <c r="C10980"/>
      <c r="D10980"/>
      <c r="E10980"/>
      <c r="F10980"/>
      <c r="G10980" s="20"/>
      <c r="H10980"/>
      <c r="I10980"/>
    </row>
    <row r="10981" spans="2:9" ht="15" x14ac:dyDescent="0.25">
      <c r="B10981"/>
      <c r="C10981"/>
      <c r="D10981"/>
      <c r="E10981"/>
      <c r="F10981"/>
      <c r="G10981" s="20"/>
      <c r="H10981"/>
      <c r="I10981"/>
    </row>
    <row r="10982" spans="2:9" ht="15" x14ac:dyDescent="0.25">
      <c r="B10982"/>
      <c r="C10982"/>
      <c r="D10982"/>
      <c r="E10982"/>
      <c r="F10982"/>
      <c r="G10982" s="20"/>
      <c r="H10982"/>
      <c r="I10982"/>
    </row>
    <row r="10983" spans="2:9" ht="15" x14ac:dyDescent="0.25">
      <c r="B10983"/>
      <c r="C10983"/>
      <c r="D10983"/>
      <c r="E10983"/>
      <c r="F10983"/>
      <c r="G10983" s="20"/>
      <c r="H10983"/>
      <c r="I10983"/>
    </row>
    <row r="10984" spans="2:9" ht="15" x14ac:dyDescent="0.25">
      <c r="B10984"/>
      <c r="C10984"/>
      <c r="D10984"/>
      <c r="E10984"/>
      <c r="F10984"/>
      <c r="G10984" s="20"/>
      <c r="H10984"/>
      <c r="I10984"/>
    </row>
    <row r="10985" spans="2:9" ht="15" x14ac:dyDescent="0.25">
      <c r="B10985"/>
      <c r="C10985"/>
      <c r="D10985"/>
      <c r="E10985"/>
      <c r="F10985"/>
      <c r="G10985" s="20"/>
      <c r="H10985"/>
      <c r="I10985"/>
    </row>
    <row r="10986" spans="2:9" ht="15" x14ac:dyDescent="0.25">
      <c r="B10986"/>
      <c r="C10986"/>
      <c r="D10986"/>
      <c r="E10986"/>
      <c r="F10986"/>
      <c r="G10986" s="20"/>
      <c r="H10986"/>
      <c r="I10986"/>
    </row>
    <row r="10987" spans="2:9" ht="15" x14ac:dyDescent="0.25">
      <c r="B10987"/>
      <c r="C10987"/>
      <c r="D10987"/>
      <c r="E10987"/>
      <c r="F10987"/>
      <c r="G10987" s="20"/>
      <c r="H10987"/>
      <c r="I10987"/>
    </row>
    <row r="10988" spans="2:9" ht="15" x14ac:dyDescent="0.25">
      <c r="B10988"/>
      <c r="C10988"/>
      <c r="D10988"/>
      <c r="E10988"/>
      <c r="F10988"/>
      <c r="G10988" s="20"/>
      <c r="H10988"/>
      <c r="I10988"/>
    </row>
    <row r="10989" spans="2:9" ht="15" x14ac:dyDescent="0.25">
      <c r="B10989"/>
      <c r="C10989"/>
      <c r="D10989"/>
      <c r="E10989"/>
      <c r="F10989"/>
      <c r="G10989" s="20"/>
      <c r="H10989"/>
      <c r="I10989"/>
    </row>
    <row r="10990" spans="2:9" ht="15" x14ac:dyDescent="0.25">
      <c r="B10990"/>
      <c r="C10990"/>
      <c r="D10990"/>
      <c r="E10990"/>
      <c r="F10990"/>
      <c r="G10990" s="20"/>
      <c r="H10990"/>
      <c r="I10990"/>
    </row>
    <row r="10991" spans="2:9" ht="15" x14ac:dyDescent="0.25">
      <c r="B10991"/>
      <c r="C10991"/>
      <c r="D10991"/>
      <c r="E10991"/>
      <c r="F10991"/>
      <c r="G10991" s="20"/>
      <c r="H10991"/>
      <c r="I10991"/>
    </row>
    <row r="10992" spans="2:9" ht="15" x14ac:dyDescent="0.25">
      <c r="B10992"/>
      <c r="C10992"/>
      <c r="D10992"/>
      <c r="E10992"/>
      <c r="F10992"/>
      <c r="G10992" s="20"/>
      <c r="H10992"/>
      <c r="I10992"/>
    </row>
    <row r="10993" spans="2:9" ht="15" x14ac:dyDescent="0.25">
      <c r="B10993"/>
      <c r="C10993"/>
      <c r="D10993"/>
      <c r="E10993"/>
      <c r="F10993"/>
      <c r="G10993" s="20"/>
      <c r="H10993"/>
      <c r="I10993"/>
    </row>
    <row r="10994" spans="2:9" ht="15" x14ac:dyDescent="0.25">
      <c r="B10994"/>
      <c r="C10994"/>
      <c r="D10994"/>
      <c r="E10994"/>
      <c r="F10994"/>
      <c r="G10994" s="20"/>
      <c r="H10994"/>
      <c r="I10994"/>
    </row>
    <row r="10995" spans="2:9" ht="15" x14ac:dyDescent="0.25">
      <c r="B10995"/>
      <c r="C10995"/>
      <c r="D10995"/>
      <c r="E10995"/>
      <c r="F10995"/>
      <c r="G10995" s="20"/>
      <c r="H10995"/>
      <c r="I10995"/>
    </row>
    <row r="10996" spans="2:9" ht="15" x14ac:dyDescent="0.25">
      <c r="B10996"/>
      <c r="C10996"/>
      <c r="D10996"/>
      <c r="E10996"/>
      <c r="F10996"/>
      <c r="G10996" s="20"/>
      <c r="H10996"/>
      <c r="I10996"/>
    </row>
    <row r="10997" spans="2:9" ht="15" x14ac:dyDescent="0.25">
      <c r="B10997"/>
      <c r="C10997"/>
      <c r="D10997"/>
      <c r="E10997"/>
      <c r="F10997"/>
      <c r="G10997" s="20"/>
      <c r="H10997"/>
      <c r="I10997"/>
    </row>
    <row r="10998" spans="2:9" ht="15" x14ac:dyDescent="0.25">
      <c r="B10998"/>
      <c r="C10998"/>
      <c r="D10998"/>
      <c r="E10998"/>
      <c r="F10998"/>
      <c r="G10998" s="20"/>
      <c r="H10998"/>
      <c r="I10998"/>
    </row>
    <row r="10999" spans="2:9" ht="15" x14ac:dyDescent="0.25">
      <c r="B10999"/>
      <c r="C10999"/>
      <c r="D10999"/>
      <c r="E10999"/>
      <c r="F10999"/>
      <c r="G10999" s="20"/>
      <c r="H10999"/>
      <c r="I10999"/>
    </row>
    <row r="11000" spans="2:9" ht="15" x14ac:dyDescent="0.25">
      <c r="B11000"/>
      <c r="C11000"/>
      <c r="D11000"/>
      <c r="E11000"/>
      <c r="F11000"/>
      <c r="G11000" s="20"/>
      <c r="H11000"/>
      <c r="I11000"/>
    </row>
    <row r="11001" spans="2:9" ht="15" x14ac:dyDescent="0.25">
      <c r="B11001"/>
      <c r="C11001"/>
      <c r="D11001"/>
      <c r="E11001"/>
      <c r="F11001"/>
      <c r="G11001" s="20"/>
      <c r="H11001"/>
      <c r="I11001"/>
    </row>
    <row r="11002" spans="2:9" ht="15" x14ac:dyDescent="0.25">
      <c r="B11002"/>
      <c r="C11002"/>
      <c r="D11002"/>
      <c r="E11002"/>
      <c r="F11002"/>
      <c r="G11002" s="20"/>
      <c r="H11002"/>
      <c r="I11002"/>
    </row>
    <row r="11003" spans="2:9" ht="15" x14ac:dyDescent="0.25">
      <c r="B11003"/>
      <c r="C11003"/>
      <c r="D11003"/>
      <c r="E11003"/>
      <c r="F11003"/>
      <c r="G11003" s="20"/>
      <c r="H11003"/>
      <c r="I11003"/>
    </row>
    <row r="11004" spans="2:9" ht="15" x14ac:dyDescent="0.25">
      <c r="B11004"/>
      <c r="C11004"/>
      <c r="D11004"/>
      <c r="E11004"/>
      <c r="F11004"/>
      <c r="G11004" s="20"/>
      <c r="H11004"/>
      <c r="I11004"/>
    </row>
    <row r="11005" spans="2:9" ht="15" x14ac:dyDescent="0.25">
      <c r="B11005"/>
      <c r="C11005"/>
      <c r="D11005"/>
      <c r="E11005"/>
      <c r="F11005"/>
      <c r="G11005" s="20"/>
      <c r="H11005"/>
      <c r="I11005"/>
    </row>
    <row r="11006" spans="2:9" ht="15" x14ac:dyDescent="0.25">
      <c r="B11006"/>
      <c r="C11006"/>
      <c r="D11006"/>
      <c r="E11006"/>
      <c r="F11006"/>
      <c r="G11006" s="20"/>
      <c r="H11006"/>
      <c r="I11006"/>
    </row>
    <row r="11007" spans="2:9" ht="15" x14ac:dyDescent="0.25">
      <c r="B11007"/>
      <c r="C11007"/>
      <c r="D11007"/>
      <c r="E11007"/>
      <c r="F11007"/>
      <c r="G11007" s="20"/>
      <c r="H11007"/>
      <c r="I11007"/>
    </row>
    <row r="11008" spans="2:9" ht="15" x14ac:dyDescent="0.25">
      <c r="B11008"/>
      <c r="C11008"/>
      <c r="D11008"/>
      <c r="E11008"/>
      <c r="F11008"/>
      <c r="G11008" s="20"/>
      <c r="H11008"/>
      <c r="I11008"/>
    </row>
    <row r="11009" spans="2:9" ht="15" x14ac:dyDescent="0.25">
      <c r="B11009"/>
      <c r="C11009"/>
      <c r="D11009"/>
      <c r="E11009"/>
      <c r="F11009"/>
      <c r="G11009" s="20"/>
      <c r="H11009"/>
      <c r="I11009"/>
    </row>
    <row r="11010" spans="2:9" ht="15" x14ac:dyDescent="0.25">
      <c r="B11010"/>
      <c r="C11010"/>
      <c r="D11010"/>
      <c r="E11010"/>
      <c r="F11010"/>
      <c r="G11010" s="20"/>
      <c r="H11010"/>
      <c r="I11010"/>
    </row>
    <row r="11011" spans="2:9" ht="15" x14ac:dyDescent="0.25">
      <c r="B11011"/>
      <c r="C11011"/>
      <c r="D11011"/>
      <c r="E11011"/>
      <c r="F11011"/>
      <c r="G11011" s="20"/>
      <c r="H11011"/>
      <c r="I11011"/>
    </row>
    <row r="11012" spans="2:9" ht="15" x14ac:dyDescent="0.25">
      <c r="B11012"/>
      <c r="C11012"/>
      <c r="D11012"/>
      <c r="E11012"/>
      <c r="F11012"/>
      <c r="G11012" s="20"/>
      <c r="H11012"/>
      <c r="I11012"/>
    </row>
    <row r="11013" spans="2:9" ht="15" x14ac:dyDescent="0.25">
      <c r="B11013"/>
      <c r="C11013"/>
      <c r="D11013"/>
      <c r="E11013"/>
      <c r="F11013"/>
      <c r="G11013" s="20"/>
      <c r="H11013"/>
      <c r="I11013"/>
    </row>
    <row r="11014" spans="2:9" ht="15" x14ac:dyDescent="0.25">
      <c r="B11014"/>
      <c r="C11014"/>
      <c r="D11014"/>
      <c r="E11014"/>
      <c r="F11014"/>
      <c r="G11014" s="20"/>
      <c r="H11014"/>
      <c r="I11014"/>
    </row>
    <row r="11015" spans="2:9" ht="15" x14ac:dyDescent="0.25">
      <c r="B11015"/>
      <c r="C11015"/>
      <c r="D11015"/>
      <c r="E11015"/>
      <c r="F11015"/>
      <c r="G11015" s="20"/>
      <c r="H11015"/>
      <c r="I11015"/>
    </row>
    <row r="11016" spans="2:9" ht="15" x14ac:dyDescent="0.25">
      <c r="B11016"/>
      <c r="C11016"/>
      <c r="D11016"/>
      <c r="E11016"/>
      <c r="F11016"/>
      <c r="G11016" s="20"/>
      <c r="H11016"/>
      <c r="I11016"/>
    </row>
    <row r="11017" spans="2:9" ht="15" x14ac:dyDescent="0.25">
      <c r="B11017"/>
      <c r="C11017"/>
      <c r="D11017"/>
      <c r="E11017"/>
      <c r="F11017"/>
      <c r="G11017" s="20"/>
      <c r="H11017"/>
      <c r="I11017"/>
    </row>
    <row r="11018" spans="2:9" ht="15" x14ac:dyDescent="0.25">
      <c r="B11018"/>
      <c r="C11018"/>
      <c r="D11018"/>
      <c r="E11018"/>
      <c r="F11018"/>
      <c r="G11018" s="20"/>
      <c r="H11018"/>
      <c r="I11018"/>
    </row>
    <row r="11019" spans="2:9" ht="15" x14ac:dyDescent="0.25">
      <c r="B11019"/>
      <c r="C11019"/>
      <c r="D11019"/>
      <c r="E11019"/>
      <c r="F11019"/>
      <c r="G11019" s="20"/>
      <c r="H11019"/>
      <c r="I11019"/>
    </row>
    <row r="11020" spans="2:9" ht="15" x14ac:dyDescent="0.25">
      <c r="B11020"/>
      <c r="C11020"/>
      <c r="D11020"/>
      <c r="E11020"/>
      <c r="F11020"/>
      <c r="G11020" s="20"/>
      <c r="H11020"/>
      <c r="I11020"/>
    </row>
    <row r="11021" spans="2:9" ht="15" x14ac:dyDescent="0.25">
      <c r="B11021"/>
      <c r="C11021"/>
      <c r="D11021"/>
      <c r="E11021"/>
      <c r="F11021"/>
      <c r="G11021" s="20"/>
      <c r="H11021"/>
      <c r="I11021"/>
    </row>
    <row r="11022" spans="2:9" ht="15" x14ac:dyDescent="0.25">
      <c r="B11022"/>
      <c r="C11022"/>
      <c r="D11022"/>
      <c r="E11022"/>
      <c r="F11022"/>
      <c r="G11022" s="20"/>
      <c r="H11022"/>
      <c r="I11022"/>
    </row>
    <row r="11023" spans="2:9" ht="15" x14ac:dyDescent="0.25">
      <c r="B11023"/>
      <c r="C11023"/>
      <c r="D11023"/>
      <c r="E11023"/>
      <c r="F11023"/>
      <c r="G11023" s="20"/>
      <c r="H11023"/>
      <c r="I11023"/>
    </row>
    <row r="11024" spans="2:9" ht="15" x14ac:dyDescent="0.25">
      <c r="B11024"/>
      <c r="C11024"/>
      <c r="D11024"/>
      <c r="E11024"/>
      <c r="F11024"/>
      <c r="G11024" s="20"/>
      <c r="H11024"/>
      <c r="I11024"/>
    </row>
    <row r="11025" spans="2:9" ht="15" x14ac:dyDescent="0.25">
      <c r="B11025"/>
      <c r="C11025"/>
      <c r="D11025"/>
      <c r="E11025"/>
      <c r="F11025"/>
      <c r="G11025" s="20"/>
      <c r="H11025"/>
      <c r="I11025"/>
    </row>
    <row r="11026" spans="2:9" ht="15" x14ac:dyDescent="0.25">
      <c r="B11026"/>
      <c r="C11026"/>
      <c r="D11026"/>
      <c r="E11026"/>
      <c r="F11026"/>
      <c r="G11026" s="20"/>
      <c r="H11026"/>
      <c r="I11026"/>
    </row>
    <row r="11027" spans="2:9" ht="15" x14ac:dyDescent="0.25">
      <c r="B11027"/>
      <c r="C11027"/>
      <c r="D11027"/>
      <c r="E11027"/>
      <c r="F11027"/>
      <c r="G11027" s="20"/>
      <c r="H11027"/>
      <c r="I11027"/>
    </row>
    <row r="11028" spans="2:9" ht="15" x14ac:dyDescent="0.25">
      <c r="B11028"/>
      <c r="C11028"/>
      <c r="D11028"/>
      <c r="E11028"/>
      <c r="F11028"/>
      <c r="G11028" s="20"/>
      <c r="H11028"/>
      <c r="I11028"/>
    </row>
    <row r="11029" spans="2:9" ht="15" x14ac:dyDescent="0.25">
      <c r="B11029"/>
      <c r="C11029"/>
      <c r="D11029"/>
      <c r="E11029"/>
      <c r="F11029"/>
      <c r="G11029" s="20"/>
      <c r="H11029"/>
      <c r="I11029"/>
    </row>
    <row r="11030" spans="2:9" ht="15" x14ac:dyDescent="0.25">
      <c r="B11030"/>
      <c r="C11030"/>
      <c r="D11030"/>
      <c r="E11030"/>
      <c r="F11030"/>
      <c r="G11030" s="20"/>
      <c r="H11030"/>
      <c r="I11030"/>
    </row>
    <row r="11031" spans="2:9" ht="15" x14ac:dyDescent="0.25">
      <c r="B11031"/>
      <c r="C11031"/>
      <c r="D11031"/>
      <c r="E11031"/>
      <c r="F11031"/>
      <c r="G11031" s="20"/>
      <c r="H11031"/>
      <c r="I11031"/>
    </row>
    <row r="11032" spans="2:9" ht="15" x14ac:dyDescent="0.25">
      <c r="B11032"/>
      <c r="C11032"/>
      <c r="D11032"/>
      <c r="E11032"/>
      <c r="F11032"/>
      <c r="G11032" s="20"/>
      <c r="H11032"/>
      <c r="I11032"/>
    </row>
    <row r="11033" spans="2:9" ht="15" x14ac:dyDescent="0.25">
      <c r="B11033"/>
      <c r="C11033"/>
      <c r="D11033"/>
      <c r="E11033"/>
      <c r="F11033"/>
      <c r="G11033" s="20"/>
      <c r="H11033"/>
      <c r="I11033"/>
    </row>
    <row r="11034" spans="2:9" ht="15" x14ac:dyDescent="0.25">
      <c r="B11034"/>
      <c r="C11034"/>
      <c r="D11034"/>
      <c r="E11034"/>
      <c r="F11034"/>
      <c r="G11034" s="20"/>
      <c r="H11034"/>
      <c r="I11034"/>
    </row>
    <row r="11035" spans="2:9" ht="15" x14ac:dyDescent="0.25">
      <c r="B11035"/>
      <c r="C11035"/>
      <c r="D11035"/>
      <c r="E11035"/>
      <c r="F11035"/>
      <c r="G11035" s="20"/>
      <c r="H11035"/>
      <c r="I11035"/>
    </row>
    <row r="11036" spans="2:9" ht="15" x14ac:dyDescent="0.25">
      <c r="B11036"/>
      <c r="C11036"/>
      <c r="D11036"/>
      <c r="E11036"/>
      <c r="F11036"/>
      <c r="G11036" s="20"/>
      <c r="H11036"/>
      <c r="I11036"/>
    </row>
    <row r="11037" spans="2:9" ht="15" x14ac:dyDescent="0.25">
      <c r="B11037"/>
      <c r="C11037"/>
      <c r="D11037"/>
      <c r="E11037"/>
      <c r="F11037"/>
      <c r="G11037" s="20"/>
      <c r="H11037"/>
      <c r="I11037"/>
    </row>
    <row r="11038" spans="2:9" ht="15" x14ac:dyDescent="0.25">
      <c r="B11038"/>
      <c r="C11038"/>
      <c r="D11038"/>
      <c r="E11038"/>
      <c r="F11038"/>
      <c r="G11038" s="20"/>
      <c r="H11038"/>
      <c r="I11038"/>
    </row>
    <row r="11039" spans="2:9" ht="15" x14ac:dyDescent="0.25">
      <c r="B11039"/>
      <c r="C11039"/>
      <c r="D11039"/>
      <c r="E11039"/>
      <c r="F11039"/>
      <c r="G11039" s="20"/>
      <c r="H11039"/>
      <c r="I11039"/>
    </row>
    <row r="11040" spans="2:9" ht="15" x14ac:dyDescent="0.25">
      <c r="B11040"/>
      <c r="C11040"/>
      <c r="D11040"/>
      <c r="E11040"/>
      <c r="F11040"/>
      <c r="G11040" s="20"/>
      <c r="H11040"/>
      <c r="I11040"/>
    </row>
    <row r="11041" spans="2:9" ht="15" x14ac:dyDescent="0.25">
      <c r="B11041"/>
      <c r="C11041"/>
      <c r="D11041"/>
      <c r="E11041"/>
      <c r="F11041"/>
      <c r="G11041" s="20"/>
      <c r="H11041"/>
      <c r="I11041"/>
    </row>
    <row r="11042" spans="2:9" ht="15" x14ac:dyDescent="0.25">
      <c r="B11042"/>
      <c r="C11042"/>
      <c r="D11042"/>
      <c r="E11042"/>
      <c r="F11042"/>
      <c r="G11042" s="20"/>
      <c r="H11042"/>
      <c r="I11042"/>
    </row>
    <row r="11043" spans="2:9" ht="15" x14ac:dyDescent="0.25">
      <c r="B11043"/>
      <c r="C11043"/>
      <c r="D11043"/>
      <c r="E11043"/>
      <c r="F11043"/>
      <c r="G11043" s="20"/>
      <c r="H11043"/>
      <c r="I11043"/>
    </row>
    <row r="11044" spans="2:9" ht="15" x14ac:dyDescent="0.25">
      <c r="B11044"/>
      <c r="C11044"/>
      <c r="D11044"/>
      <c r="E11044"/>
      <c r="F11044"/>
      <c r="G11044" s="20"/>
      <c r="H11044"/>
      <c r="I11044"/>
    </row>
    <row r="11045" spans="2:9" ht="15" x14ac:dyDescent="0.25">
      <c r="B11045"/>
      <c r="C11045"/>
      <c r="D11045"/>
      <c r="E11045"/>
      <c r="F11045"/>
      <c r="G11045" s="20"/>
      <c r="H11045"/>
      <c r="I11045"/>
    </row>
    <row r="11046" spans="2:9" ht="15" x14ac:dyDescent="0.25">
      <c r="B11046"/>
      <c r="C11046"/>
      <c r="D11046"/>
      <c r="E11046"/>
      <c r="F11046"/>
      <c r="G11046" s="20"/>
      <c r="H11046"/>
      <c r="I11046"/>
    </row>
    <row r="11047" spans="2:9" ht="15" x14ac:dyDescent="0.25">
      <c r="B11047"/>
      <c r="C11047"/>
      <c r="D11047"/>
      <c r="E11047"/>
      <c r="F11047"/>
      <c r="G11047" s="20"/>
      <c r="H11047"/>
      <c r="I11047"/>
    </row>
    <row r="11048" spans="2:9" ht="15" x14ac:dyDescent="0.25">
      <c r="B11048"/>
      <c r="C11048"/>
      <c r="D11048"/>
      <c r="E11048"/>
      <c r="F11048"/>
      <c r="G11048" s="20"/>
      <c r="H11048"/>
      <c r="I11048"/>
    </row>
    <row r="11049" spans="2:9" ht="15" x14ac:dyDescent="0.25">
      <c r="B11049"/>
      <c r="C11049"/>
      <c r="D11049"/>
      <c r="E11049"/>
      <c r="F11049"/>
      <c r="G11049" s="20"/>
      <c r="H11049"/>
      <c r="I11049"/>
    </row>
    <row r="11050" spans="2:9" ht="15" x14ac:dyDescent="0.25">
      <c r="B11050"/>
      <c r="C11050"/>
      <c r="D11050"/>
      <c r="E11050"/>
      <c r="F11050"/>
      <c r="G11050" s="20"/>
      <c r="H11050"/>
      <c r="I11050"/>
    </row>
    <row r="11051" spans="2:9" ht="15" x14ac:dyDescent="0.25">
      <c r="B11051"/>
      <c r="C11051"/>
      <c r="D11051"/>
      <c r="E11051"/>
      <c r="F11051"/>
      <c r="G11051" s="20"/>
      <c r="H11051"/>
      <c r="I11051"/>
    </row>
    <row r="11052" spans="2:9" ht="15" x14ac:dyDescent="0.25">
      <c r="B11052"/>
      <c r="C11052"/>
      <c r="D11052"/>
      <c r="E11052"/>
      <c r="F11052"/>
      <c r="G11052" s="20"/>
      <c r="H11052"/>
      <c r="I11052"/>
    </row>
    <row r="11053" spans="2:9" ht="15" x14ac:dyDescent="0.25">
      <c r="B11053"/>
      <c r="C11053"/>
      <c r="D11053"/>
      <c r="E11053"/>
      <c r="F11053"/>
      <c r="G11053" s="20"/>
      <c r="H11053"/>
      <c r="I11053"/>
    </row>
    <row r="11054" spans="2:9" ht="15" x14ac:dyDescent="0.25">
      <c r="B11054"/>
      <c r="C11054"/>
      <c r="D11054"/>
      <c r="E11054"/>
      <c r="F11054"/>
      <c r="G11054" s="20"/>
      <c r="H11054"/>
      <c r="I11054"/>
    </row>
    <row r="11055" spans="2:9" ht="15" x14ac:dyDescent="0.25">
      <c r="B11055"/>
      <c r="C11055"/>
      <c r="D11055"/>
      <c r="E11055"/>
      <c r="F11055"/>
      <c r="G11055" s="20"/>
      <c r="H11055"/>
      <c r="I11055"/>
    </row>
    <row r="11056" spans="2:9" ht="15" x14ac:dyDescent="0.25">
      <c r="B11056"/>
      <c r="C11056"/>
      <c r="D11056"/>
      <c r="E11056"/>
      <c r="F11056"/>
      <c r="G11056" s="20"/>
      <c r="H11056"/>
      <c r="I11056"/>
    </row>
    <row r="11057" spans="2:9" ht="15" x14ac:dyDescent="0.25">
      <c r="B11057"/>
      <c r="C11057"/>
      <c r="D11057"/>
      <c r="E11057"/>
      <c r="F11057"/>
      <c r="G11057" s="20"/>
      <c r="H11057"/>
      <c r="I11057"/>
    </row>
    <row r="11058" spans="2:9" ht="15" x14ac:dyDescent="0.25">
      <c r="B11058"/>
      <c r="C11058"/>
      <c r="D11058"/>
      <c r="E11058"/>
      <c r="F11058"/>
      <c r="G11058" s="20"/>
      <c r="H11058"/>
      <c r="I11058"/>
    </row>
    <row r="11059" spans="2:9" ht="15" x14ac:dyDescent="0.25">
      <c r="B11059"/>
      <c r="C11059"/>
      <c r="D11059"/>
      <c r="E11059"/>
      <c r="F11059"/>
      <c r="G11059" s="20"/>
      <c r="H11059"/>
      <c r="I11059"/>
    </row>
    <row r="11060" spans="2:9" ht="15" x14ac:dyDescent="0.25">
      <c r="B11060"/>
      <c r="C11060"/>
      <c r="D11060"/>
      <c r="E11060"/>
      <c r="F11060"/>
      <c r="G11060" s="20"/>
      <c r="H11060"/>
      <c r="I11060"/>
    </row>
    <row r="11061" spans="2:9" ht="15" x14ac:dyDescent="0.25">
      <c r="B11061"/>
      <c r="C11061"/>
      <c r="D11061"/>
      <c r="E11061"/>
      <c r="F11061"/>
      <c r="G11061" s="20"/>
      <c r="H11061"/>
      <c r="I11061"/>
    </row>
    <row r="11062" spans="2:9" ht="15" x14ac:dyDescent="0.25">
      <c r="B11062"/>
      <c r="C11062"/>
      <c r="D11062"/>
      <c r="E11062"/>
      <c r="F11062"/>
      <c r="G11062" s="20"/>
      <c r="H11062"/>
      <c r="I11062"/>
    </row>
    <row r="11063" spans="2:9" ht="15" x14ac:dyDescent="0.25">
      <c r="B11063"/>
      <c r="C11063"/>
      <c r="D11063"/>
      <c r="E11063"/>
      <c r="F11063"/>
      <c r="G11063" s="20"/>
      <c r="H11063"/>
      <c r="I11063"/>
    </row>
    <row r="11064" spans="2:9" ht="15" x14ac:dyDescent="0.25">
      <c r="B11064"/>
      <c r="C11064"/>
      <c r="D11064"/>
      <c r="E11064"/>
      <c r="F11064"/>
      <c r="G11064" s="20"/>
      <c r="H11064"/>
      <c r="I11064"/>
    </row>
    <row r="11065" spans="2:9" ht="15" x14ac:dyDescent="0.25">
      <c r="B11065"/>
      <c r="C11065"/>
      <c r="D11065"/>
      <c r="E11065"/>
      <c r="F11065"/>
      <c r="G11065" s="20"/>
      <c r="H11065"/>
      <c r="I11065"/>
    </row>
    <row r="11066" spans="2:9" ht="15" x14ac:dyDescent="0.25">
      <c r="B11066"/>
      <c r="C11066"/>
      <c r="D11066"/>
      <c r="E11066"/>
      <c r="F11066"/>
      <c r="G11066" s="20"/>
      <c r="H11066"/>
      <c r="I11066"/>
    </row>
    <row r="11067" spans="2:9" ht="15" x14ac:dyDescent="0.25">
      <c r="B11067"/>
      <c r="C11067"/>
      <c r="D11067"/>
      <c r="E11067"/>
      <c r="F11067"/>
      <c r="G11067" s="20"/>
      <c r="H11067"/>
      <c r="I11067"/>
    </row>
    <row r="11068" spans="2:9" ht="15" x14ac:dyDescent="0.25">
      <c r="B11068"/>
      <c r="C11068"/>
      <c r="D11068"/>
      <c r="E11068"/>
      <c r="F11068"/>
      <c r="G11068" s="20"/>
      <c r="H11068"/>
      <c r="I11068"/>
    </row>
    <row r="11069" spans="2:9" ht="15" x14ac:dyDescent="0.25">
      <c r="B11069"/>
      <c r="C11069"/>
      <c r="D11069"/>
      <c r="E11069"/>
      <c r="F11069"/>
      <c r="G11069" s="20"/>
      <c r="H11069"/>
      <c r="I11069"/>
    </row>
    <row r="11070" spans="2:9" ht="15" x14ac:dyDescent="0.25">
      <c r="B11070"/>
      <c r="C11070"/>
      <c r="D11070"/>
      <c r="E11070"/>
      <c r="F11070"/>
      <c r="G11070" s="20"/>
      <c r="H11070"/>
      <c r="I11070"/>
    </row>
    <row r="11071" spans="2:9" ht="15" x14ac:dyDescent="0.25">
      <c r="B11071"/>
      <c r="C11071"/>
      <c r="D11071"/>
      <c r="E11071"/>
      <c r="F11071"/>
      <c r="G11071" s="20"/>
      <c r="H11071"/>
      <c r="I11071"/>
    </row>
    <row r="11072" spans="2:9" ht="15" x14ac:dyDescent="0.25">
      <c r="B11072"/>
      <c r="C11072"/>
      <c r="D11072"/>
      <c r="E11072"/>
      <c r="F11072"/>
      <c r="G11072" s="20"/>
      <c r="H11072"/>
      <c r="I11072"/>
    </row>
    <row r="11073" spans="2:9" ht="15" x14ac:dyDescent="0.25">
      <c r="B11073"/>
      <c r="C11073"/>
      <c r="D11073"/>
      <c r="E11073"/>
      <c r="F11073"/>
      <c r="G11073" s="20"/>
      <c r="H11073"/>
      <c r="I11073"/>
    </row>
    <row r="11074" spans="2:9" ht="15" x14ac:dyDescent="0.25">
      <c r="B11074"/>
      <c r="C11074"/>
      <c r="D11074"/>
      <c r="E11074"/>
      <c r="F11074"/>
      <c r="G11074" s="20"/>
      <c r="H11074"/>
      <c r="I11074"/>
    </row>
    <row r="11075" spans="2:9" ht="15" x14ac:dyDescent="0.25">
      <c r="B11075"/>
      <c r="C11075"/>
      <c r="D11075"/>
      <c r="E11075"/>
      <c r="F11075"/>
      <c r="G11075" s="20"/>
      <c r="H11075"/>
      <c r="I11075"/>
    </row>
    <row r="11076" spans="2:9" ht="15" x14ac:dyDescent="0.25">
      <c r="B11076"/>
      <c r="C11076"/>
      <c r="D11076"/>
      <c r="E11076"/>
      <c r="F11076"/>
      <c r="G11076" s="20"/>
      <c r="H11076"/>
      <c r="I11076"/>
    </row>
    <row r="11077" spans="2:9" ht="15" x14ac:dyDescent="0.25">
      <c r="B11077"/>
      <c r="C11077"/>
      <c r="D11077"/>
      <c r="E11077"/>
      <c r="F11077"/>
      <c r="G11077" s="20"/>
      <c r="H11077"/>
      <c r="I11077"/>
    </row>
    <row r="11078" spans="2:9" ht="15" x14ac:dyDescent="0.25">
      <c r="B11078"/>
      <c r="C11078"/>
      <c r="D11078"/>
      <c r="E11078"/>
      <c r="F11078"/>
      <c r="G11078" s="20"/>
      <c r="H11078"/>
      <c r="I11078"/>
    </row>
    <row r="11079" spans="2:9" ht="15" x14ac:dyDescent="0.25">
      <c r="B11079"/>
      <c r="C11079"/>
      <c r="D11079"/>
      <c r="E11079"/>
      <c r="F11079"/>
      <c r="G11079" s="20"/>
      <c r="H11079"/>
      <c r="I11079"/>
    </row>
    <row r="11080" spans="2:9" ht="15" x14ac:dyDescent="0.25">
      <c r="B11080"/>
      <c r="C11080"/>
      <c r="D11080"/>
      <c r="E11080"/>
      <c r="F11080"/>
      <c r="G11080" s="20"/>
      <c r="H11080"/>
      <c r="I11080"/>
    </row>
    <row r="11081" spans="2:9" ht="15" x14ac:dyDescent="0.25">
      <c r="B11081"/>
      <c r="C11081"/>
      <c r="D11081"/>
      <c r="E11081"/>
      <c r="F11081"/>
      <c r="G11081" s="20"/>
      <c r="H11081"/>
      <c r="I11081"/>
    </row>
    <row r="11082" spans="2:9" ht="15" x14ac:dyDescent="0.25">
      <c r="B11082"/>
      <c r="C11082"/>
      <c r="D11082"/>
      <c r="E11082"/>
      <c r="F11082"/>
      <c r="G11082" s="20"/>
      <c r="H11082"/>
      <c r="I11082"/>
    </row>
    <row r="11083" spans="2:9" ht="15" x14ac:dyDescent="0.25">
      <c r="B11083"/>
      <c r="C11083"/>
      <c r="D11083"/>
      <c r="E11083"/>
      <c r="F11083"/>
      <c r="G11083" s="20"/>
      <c r="H11083"/>
      <c r="I11083"/>
    </row>
    <row r="11084" spans="2:9" ht="15" x14ac:dyDescent="0.25">
      <c r="B11084"/>
      <c r="C11084"/>
      <c r="D11084"/>
      <c r="E11084"/>
      <c r="F11084"/>
      <c r="G11084" s="20"/>
      <c r="H11084"/>
      <c r="I11084"/>
    </row>
    <row r="11085" spans="2:9" ht="15" x14ac:dyDescent="0.25">
      <c r="B11085"/>
      <c r="C11085"/>
      <c r="D11085"/>
      <c r="E11085"/>
      <c r="F11085"/>
      <c r="G11085" s="20"/>
      <c r="H11085"/>
      <c r="I11085"/>
    </row>
    <row r="11086" spans="2:9" ht="15" x14ac:dyDescent="0.25">
      <c r="B11086"/>
      <c r="C11086"/>
      <c r="D11086"/>
      <c r="E11086"/>
      <c r="F11086"/>
      <c r="G11086" s="20"/>
      <c r="H11086"/>
      <c r="I11086"/>
    </row>
    <row r="11087" spans="2:9" ht="15" x14ac:dyDescent="0.25">
      <c r="B11087"/>
      <c r="C11087"/>
      <c r="D11087"/>
      <c r="E11087"/>
      <c r="F11087"/>
      <c r="G11087" s="20"/>
      <c r="H11087"/>
      <c r="I11087"/>
    </row>
    <row r="11088" spans="2:9" ht="15" x14ac:dyDescent="0.25">
      <c r="B11088"/>
      <c r="C11088"/>
      <c r="D11088"/>
      <c r="E11088"/>
      <c r="F11088"/>
      <c r="G11088" s="20"/>
      <c r="H11088"/>
      <c r="I11088"/>
    </row>
    <row r="11089" spans="2:9" ht="15" x14ac:dyDescent="0.25">
      <c r="B11089"/>
      <c r="C11089"/>
      <c r="D11089"/>
      <c r="E11089"/>
      <c r="F11089"/>
      <c r="G11089" s="20"/>
      <c r="H11089"/>
      <c r="I11089"/>
    </row>
    <row r="11090" spans="2:9" ht="15" x14ac:dyDescent="0.25">
      <c r="B11090"/>
      <c r="C11090"/>
      <c r="D11090"/>
      <c r="E11090"/>
      <c r="F11090"/>
      <c r="G11090" s="20"/>
      <c r="H11090"/>
      <c r="I11090"/>
    </row>
    <row r="11091" spans="2:9" ht="15" x14ac:dyDescent="0.25">
      <c r="B11091"/>
      <c r="C11091"/>
      <c r="D11091"/>
      <c r="E11091"/>
      <c r="F11091"/>
      <c r="G11091" s="20"/>
      <c r="H11091"/>
      <c r="I11091"/>
    </row>
    <row r="11092" spans="2:9" ht="15" x14ac:dyDescent="0.25">
      <c r="B11092"/>
      <c r="C11092"/>
      <c r="D11092"/>
      <c r="E11092"/>
      <c r="F11092"/>
      <c r="G11092" s="20"/>
      <c r="H11092"/>
      <c r="I11092"/>
    </row>
    <row r="11093" spans="2:9" ht="15" x14ac:dyDescent="0.25">
      <c r="B11093"/>
      <c r="C11093"/>
      <c r="D11093"/>
      <c r="E11093"/>
      <c r="F11093"/>
      <c r="G11093" s="20"/>
      <c r="H11093"/>
      <c r="I11093"/>
    </row>
    <row r="11094" spans="2:9" ht="15" x14ac:dyDescent="0.25">
      <c r="B11094"/>
      <c r="C11094"/>
      <c r="D11094"/>
      <c r="E11094"/>
      <c r="F11094"/>
      <c r="G11094" s="20"/>
      <c r="H11094"/>
      <c r="I11094"/>
    </row>
    <row r="11095" spans="2:9" ht="15" x14ac:dyDescent="0.25">
      <c r="B11095"/>
      <c r="C11095"/>
      <c r="D11095"/>
      <c r="E11095"/>
      <c r="F11095"/>
      <c r="G11095" s="20"/>
      <c r="H11095"/>
      <c r="I11095"/>
    </row>
    <row r="11096" spans="2:9" ht="15" x14ac:dyDescent="0.25">
      <c r="B11096"/>
      <c r="C11096"/>
      <c r="D11096"/>
      <c r="E11096"/>
      <c r="F11096"/>
      <c r="G11096" s="20"/>
      <c r="H11096"/>
      <c r="I11096"/>
    </row>
    <row r="11097" spans="2:9" ht="15" x14ac:dyDescent="0.25">
      <c r="B11097"/>
      <c r="C11097"/>
      <c r="D11097"/>
      <c r="E11097"/>
      <c r="F11097"/>
      <c r="G11097" s="20"/>
      <c r="H11097"/>
      <c r="I11097"/>
    </row>
    <row r="11098" spans="2:9" ht="15" x14ac:dyDescent="0.25">
      <c r="B11098"/>
      <c r="C11098"/>
      <c r="D11098"/>
      <c r="E11098"/>
      <c r="F11098"/>
      <c r="G11098" s="20"/>
      <c r="H11098"/>
      <c r="I11098"/>
    </row>
    <row r="11099" spans="2:9" ht="15" x14ac:dyDescent="0.25">
      <c r="B11099"/>
      <c r="C11099"/>
      <c r="D11099"/>
      <c r="E11099"/>
      <c r="F11099"/>
      <c r="G11099" s="20"/>
      <c r="H11099"/>
      <c r="I11099"/>
    </row>
    <row r="11100" spans="2:9" ht="15" x14ac:dyDescent="0.25">
      <c r="B11100"/>
      <c r="C11100"/>
      <c r="D11100"/>
      <c r="E11100"/>
      <c r="F11100"/>
      <c r="G11100" s="20"/>
      <c r="H11100"/>
      <c r="I11100"/>
    </row>
    <row r="11101" spans="2:9" ht="15" x14ac:dyDescent="0.25">
      <c r="B11101"/>
      <c r="C11101"/>
      <c r="D11101"/>
      <c r="E11101"/>
      <c r="F11101"/>
      <c r="G11101" s="20"/>
      <c r="H11101"/>
      <c r="I11101"/>
    </row>
    <row r="11102" spans="2:9" ht="15" x14ac:dyDescent="0.25">
      <c r="B11102"/>
      <c r="C11102"/>
      <c r="D11102"/>
      <c r="E11102"/>
      <c r="F11102"/>
      <c r="G11102" s="20"/>
      <c r="H11102"/>
      <c r="I11102"/>
    </row>
    <row r="11103" spans="2:9" ht="15" x14ac:dyDescent="0.25">
      <c r="B11103"/>
      <c r="C11103"/>
      <c r="D11103"/>
      <c r="E11103"/>
      <c r="F11103"/>
      <c r="G11103" s="20"/>
      <c r="H11103"/>
      <c r="I11103"/>
    </row>
    <row r="11104" spans="2:9" ht="15" x14ac:dyDescent="0.25">
      <c r="B11104"/>
      <c r="C11104"/>
      <c r="D11104"/>
      <c r="E11104"/>
      <c r="F11104"/>
      <c r="G11104" s="20"/>
      <c r="H11104"/>
      <c r="I11104"/>
    </row>
    <row r="11105" spans="2:9" ht="15" x14ac:dyDescent="0.25">
      <c r="B11105"/>
      <c r="C11105"/>
      <c r="D11105"/>
      <c r="E11105"/>
      <c r="F11105"/>
      <c r="G11105" s="20"/>
      <c r="H11105"/>
      <c r="I11105"/>
    </row>
    <row r="11106" spans="2:9" ht="15" x14ac:dyDescent="0.25">
      <c r="B11106"/>
      <c r="C11106"/>
      <c r="D11106"/>
      <c r="E11106"/>
      <c r="F11106"/>
      <c r="G11106" s="20"/>
      <c r="H11106"/>
      <c r="I11106"/>
    </row>
    <row r="11107" spans="2:9" ht="15" x14ac:dyDescent="0.25">
      <c r="B11107"/>
      <c r="C11107"/>
      <c r="D11107"/>
      <c r="E11107"/>
      <c r="F11107"/>
      <c r="G11107" s="20"/>
      <c r="H11107"/>
      <c r="I11107"/>
    </row>
    <row r="11108" spans="2:9" ht="15" x14ac:dyDescent="0.25">
      <c r="B11108"/>
      <c r="C11108"/>
      <c r="D11108"/>
      <c r="E11108"/>
      <c r="F11108"/>
      <c r="G11108" s="20"/>
      <c r="H11108"/>
      <c r="I11108"/>
    </row>
    <row r="11109" spans="2:9" ht="15" x14ac:dyDescent="0.25">
      <c r="B11109"/>
      <c r="C11109"/>
      <c r="D11109"/>
      <c r="E11109"/>
      <c r="F11109"/>
      <c r="G11109" s="20"/>
      <c r="H11109"/>
      <c r="I11109"/>
    </row>
    <row r="11110" spans="2:9" ht="15" x14ac:dyDescent="0.25">
      <c r="B11110"/>
      <c r="C11110"/>
      <c r="D11110"/>
      <c r="E11110"/>
      <c r="F11110"/>
      <c r="G11110" s="20"/>
      <c r="H11110"/>
      <c r="I11110"/>
    </row>
    <row r="11111" spans="2:9" ht="15" x14ac:dyDescent="0.25">
      <c r="B11111"/>
      <c r="C11111"/>
      <c r="D11111"/>
      <c r="E11111"/>
      <c r="F11111"/>
      <c r="G11111" s="20"/>
      <c r="H11111"/>
      <c r="I11111"/>
    </row>
    <row r="11112" spans="2:9" ht="15" x14ac:dyDescent="0.25">
      <c r="B11112"/>
      <c r="C11112"/>
      <c r="D11112"/>
      <c r="E11112"/>
      <c r="F11112"/>
      <c r="G11112" s="20"/>
      <c r="H11112"/>
      <c r="I11112"/>
    </row>
    <row r="11113" spans="2:9" ht="15" x14ac:dyDescent="0.25">
      <c r="B11113"/>
      <c r="C11113"/>
      <c r="D11113"/>
      <c r="E11113"/>
      <c r="F11113"/>
      <c r="G11113" s="20"/>
      <c r="H11113"/>
      <c r="I11113"/>
    </row>
    <row r="11114" spans="2:9" ht="15" x14ac:dyDescent="0.25">
      <c r="B11114"/>
      <c r="C11114"/>
      <c r="D11114"/>
      <c r="E11114"/>
      <c r="F11114"/>
      <c r="G11114" s="20"/>
      <c r="H11114"/>
      <c r="I11114"/>
    </row>
    <row r="11115" spans="2:9" ht="15" x14ac:dyDescent="0.25">
      <c r="B11115"/>
      <c r="C11115"/>
      <c r="D11115"/>
      <c r="E11115"/>
      <c r="F11115"/>
      <c r="G11115" s="20"/>
      <c r="H11115"/>
      <c r="I11115"/>
    </row>
    <row r="11116" spans="2:9" ht="15" x14ac:dyDescent="0.25">
      <c r="B11116"/>
      <c r="C11116"/>
      <c r="D11116"/>
      <c r="E11116"/>
      <c r="F11116"/>
      <c r="G11116" s="20"/>
      <c r="H11116"/>
      <c r="I11116"/>
    </row>
    <row r="11117" spans="2:9" ht="15" x14ac:dyDescent="0.25">
      <c r="B11117"/>
      <c r="C11117"/>
      <c r="D11117"/>
      <c r="E11117"/>
      <c r="F11117"/>
      <c r="G11117" s="20"/>
      <c r="H11117"/>
      <c r="I11117"/>
    </row>
    <row r="11118" spans="2:9" ht="15" x14ac:dyDescent="0.25">
      <c r="B11118"/>
      <c r="C11118"/>
      <c r="D11118"/>
      <c r="E11118"/>
      <c r="F11118"/>
      <c r="G11118" s="20"/>
      <c r="H11118"/>
      <c r="I11118"/>
    </row>
    <row r="11119" spans="2:9" ht="15" x14ac:dyDescent="0.25">
      <c r="B11119"/>
      <c r="C11119"/>
      <c r="D11119"/>
      <c r="E11119"/>
      <c r="F11119"/>
      <c r="G11119" s="20"/>
      <c r="H11119"/>
      <c r="I11119"/>
    </row>
    <row r="11120" spans="2:9" ht="15" x14ac:dyDescent="0.25">
      <c r="B11120"/>
      <c r="C11120"/>
      <c r="D11120"/>
      <c r="E11120"/>
      <c r="F11120"/>
      <c r="G11120" s="20"/>
      <c r="H11120"/>
      <c r="I11120"/>
    </row>
    <row r="11121" spans="2:9" ht="15" x14ac:dyDescent="0.25">
      <c r="B11121"/>
      <c r="C11121"/>
      <c r="D11121"/>
      <c r="E11121"/>
      <c r="F11121"/>
      <c r="G11121" s="20"/>
      <c r="H11121"/>
      <c r="I11121"/>
    </row>
    <row r="11122" spans="2:9" ht="15" x14ac:dyDescent="0.25">
      <c r="B11122"/>
      <c r="C11122"/>
      <c r="D11122"/>
      <c r="E11122"/>
      <c r="F11122"/>
      <c r="G11122" s="20"/>
      <c r="H11122"/>
      <c r="I11122"/>
    </row>
    <row r="11123" spans="2:9" ht="15" x14ac:dyDescent="0.25">
      <c r="B11123"/>
      <c r="C11123"/>
      <c r="D11123"/>
      <c r="E11123"/>
      <c r="F11123"/>
      <c r="G11123" s="20"/>
      <c r="H11123"/>
      <c r="I11123"/>
    </row>
    <row r="11124" spans="2:9" ht="15" x14ac:dyDescent="0.25">
      <c r="B11124"/>
      <c r="C11124"/>
      <c r="D11124"/>
      <c r="E11124"/>
      <c r="F11124"/>
      <c r="G11124" s="20"/>
      <c r="H11124"/>
      <c r="I11124"/>
    </row>
    <row r="11125" spans="2:9" ht="15" x14ac:dyDescent="0.25">
      <c r="B11125"/>
      <c r="C11125"/>
      <c r="D11125"/>
      <c r="E11125"/>
      <c r="F11125"/>
      <c r="G11125" s="20"/>
      <c r="H11125"/>
      <c r="I11125"/>
    </row>
    <row r="11126" spans="2:9" ht="15" x14ac:dyDescent="0.25">
      <c r="B11126"/>
      <c r="C11126"/>
      <c r="D11126"/>
      <c r="E11126"/>
      <c r="F11126"/>
      <c r="G11126" s="20"/>
      <c r="H11126"/>
      <c r="I11126"/>
    </row>
    <row r="11127" spans="2:9" ht="15" x14ac:dyDescent="0.25">
      <c r="B11127"/>
      <c r="C11127"/>
      <c r="D11127"/>
      <c r="E11127"/>
      <c r="F11127"/>
      <c r="G11127" s="20"/>
      <c r="H11127"/>
      <c r="I11127"/>
    </row>
    <row r="11128" spans="2:9" ht="15" x14ac:dyDescent="0.25">
      <c r="B11128"/>
      <c r="C11128"/>
      <c r="D11128"/>
      <c r="E11128"/>
      <c r="F11128"/>
      <c r="G11128" s="20"/>
      <c r="H11128"/>
      <c r="I11128"/>
    </row>
    <row r="11129" spans="2:9" ht="15" x14ac:dyDescent="0.25">
      <c r="B11129"/>
      <c r="C11129"/>
      <c r="D11129"/>
      <c r="E11129"/>
      <c r="F11129"/>
      <c r="G11129" s="20"/>
      <c r="H11129"/>
      <c r="I11129"/>
    </row>
    <row r="11130" spans="2:9" ht="15" x14ac:dyDescent="0.25">
      <c r="B11130"/>
      <c r="C11130"/>
      <c r="D11130"/>
      <c r="E11130"/>
      <c r="F11130"/>
      <c r="G11130" s="20"/>
      <c r="H11130"/>
      <c r="I11130"/>
    </row>
    <row r="11131" spans="2:9" ht="15" x14ac:dyDescent="0.25">
      <c r="B11131"/>
      <c r="C11131"/>
      <c r="D11131"/>
      <c r="E11131"/>
      <c r="F11131"/>
      <c r="G11131" s="20"/>
      <c r="H11131"/>
      <c r="I11131"/>
    </row>
    <row r="11132" spans="2:9" ht="15" x14ac:dyDescent="0.25">
      <c r="B11132"/>
      <c r="C11132"/>
      <c r="D11132"/>
      <c r="E11132"/>
      <c r="F11132"/>
      <c r="G11132" s="20"/>
      <c r="H11132"/>
      <c r="I11132"/>
    </row>
    <row r="11133" spans="2:9" ht="15" x14ac:dyDescent="0.25">
      <c r="B11133"/>
      <c r="C11133"/>
      <c r="D11133"/>
      <c r="E11133"/>
      <c r="F11133"/>
      <c r="G11133" s="20"/>
      <c r="H11133"/>
      <c r="I11133"/>
    </row>
    <row r="11134" spans="2:9" ht="15" x14ac:dyDescent="0.25">
      <c r="B11134"/>
      <c r="C11134"/>
      <c r="D11134"/>
      <c r="E11134"/>
      <c r="F11134"/>
      <c r="G11134" s="20"/>
      <c r="H11134"/>
      <c r="I11134"/>
    </row>
    <row r="11135" spans="2:9" ht="15" x14ac:dyDescent="0.25">
      <c r="B11135"/>
      <c r="C11135"/>
      <c r="D11135"/>
      <c r="E11135"/>
      <c r="F11135"/>
      <c r="G11135" s="20"/>
      <c r="H11135"/>
      <c r="I11135"/>
    </row>
    <row r="11136" spans="2:9" ht="15" x14ac:dyDescent="0.25">
      <c r="B11136"/>
      <c r="C11136"/>
      <c r="D11136"/>
      <c r="E11136"/>
      <c r="F11136"/>
      <c r="G11136" s="20"/>
      <c r="H11136"/>
      <c r="I11136"/>
    </row>
    <row r="11137" spans="2:9" ht="15" x14ac:dyDescent="0.25">
      <c r="B11137"/>
      <c r="C11137"/>
      <c r="D11137"/>
      <c r="E11137"/>
      <c r="F11137"/>
      <c r="G11137" s="20"/>
      <c r="H11137"/>
      <c r="I11137"/>
    </row>
    <row r="11138" spans="2:9" ht="15" x14ac:dyDescent="0.25">
      <c r="B11138"/>
      <c r="C11138"/>
      <c r="D11138"/>
      <c r="E11138"/>
      <c r="F11138"/>
      <c r="G11138" s="20"/>
      <c r="H11138"/>
      <c r="I11138"/>
    </row>
    <row r="11139" spans="2:9" ht="15" x14ac:dyDescent="0.25">
      <c r="B11139"/>
      <c r="C11139"/>
      <c r="D11139"/>
      <c r="E11139"/>
      <c r="F11139"/>
      <c r="G11139" s="20"/>
      <c r="H11139"/>
      <c r="I11139"/>
    </row>
    <row r="11140" spans="2:9" ht="15" x14ac:dyDescent="0.25">
      <c r="B11140"/>
      <c r="C11140"/>
      <c r="D11140"/>
      <c r="E11140"/>
      <c r="F11140"/>
      <c r="G11140" s="20"/>
      <c r="H11140"/>
      <c r="I11140"/>
    </row>
    <row r="11141" spans="2:9" ht="15" x14ac:dyDescent="0.25">
      <c r="B11141"/>
      <c r="C11141"/>
      <c r="D11141"/>
      <c r="E11141"/>
      <c r="F11141"/>
      <c r="G11141" s="20"/>
      <c r="H11141"/>
      <c r="I11141"/>
    </row>
    <row r="11142" spans="2:9" ht="15" x14ac:dyDescent="0.25">
      <c r="B11142"/>
      <c r="C11142"/>
      <c r="D11142"/>
      <c r="E11142"/>
      <c r="F11142"/>
      <c r="G11142" s="20"/>
      <c r="H11142"/>
      <c r="I11142"/>
    </row>
    <row r="11143" spans="2:9" ht="15" x14ac:dyDescent="0.25">
      <c r="B11143"/>
      <c r="C11143"/>
      <c r="D11143"/>
      <c r="E11143"/>
      <c r="F11143"/>
      <c r="G11143" s="20"/>
      <c r="H11143"/>
      <c r="I11143"/>
    </row>
    <row r="11144" spans="2:9" ht="15" x14ac:dyDescent="0.25">
      <c r="B11144"/>
      <c r="C11144"/>
      <c r="D11144"/>
      <c r="E11144"/>
      <c r="F11144"/>
      <c r="G11144" s="20"/>
      <c r="H11144"/>
      <c r="I11144"/>
    </row>
    <row r="11145" spans="2:9" ht="15" x14ac:dyDescent="0.25">
      <c r="B11145"/>
      <c r="C11145"/>
      <c r="D11145"/>
      <c r="E11145"/>
      <c r="F11145"/>
      <c r="G11145" s="20"/>
      <c r="H11145"/>
      <c r="I11145"/>
    </row>
    <row r="11146" spans="2:9" ht="15" x14ac:dyDescent="0.25">
      <c r="B11146"/>
      <c r="C11146"/>
      <c r="D11146"/>
      <c r="E11146"/>
      <c r="F11146"/>
      <c r="G11146" s="20"/>
      <c r="H11146"/>
      <c r="I11146"/>
    </row>
    <row r="11147" spans="2:9" ht="15" x14ac:dyDescent="0.25">
      <c r="B11147"/>
      <c r="C11147"/>
      <c r="D11147"/>
      <c r="E11147"/>
      <c r="F11147"/>
      <c r="G11147" s="20"/>
      <c r="H11147"/>
      <c r="I11147"/>
    </row>
    <row r="11148" spans="2:9" ht="15" x14ac:dyDescent="0.25">
      <c r="B11148"/>
      <c r="C11148"/>
      <c r="D11148"/>
      <c r="E11148"/>
      <c r="F11148"/>
      <c r="G11148" s="20"/>
      <c r="H11148"/>
      <c r="I11148"/>
    </row>
    <row r="11149" spans="2:9" ht="15" x14ac:dyDescent="0.25">
      <c r="B11149"/>
      <c r="C11149"/>
      <c r="D11149"/>
      <c r="E11149"/>
      <c r="F11149"/>
      <c r="G11149" s="20"/>
      <c r="H11149"/>
      <c r="I11149"/>
    </row>
    <row r="11150" spans="2:9" ht="15" x14ac:dyDescent="0.25">
      <c r="B11150"/>
      <c r="C11150"/>
      <c r="D11150"/>
      <c r="E11150"/>
      <c r="F11150"/>
      <c r="G11150" s="20"/>
      <c r="H11150"/>
      <c r="I11150"/>
    </row>
    <row r="11151" spans="2:9" ht="15" x14ac:dyDescent="0.25">
      <c r="B11151"/>
      <c r="C11151"/>
      <c r="D11151"/>
      <c r="E11151"/>
      <c r="F11151"/>
      <c r="G11151" s="20"/>
      <c r="H11151"/>
      <c r="I11151"/>
    </row>
    <row r="11152" spans="2:9" ht="15" x14ac:dyDescent="0.25">
      <c r="B11152"/>
      <c r="C11152"/>
      <c r="D11152"/>
      <c r="E11152"/>
      <c r="F11152"/>
      <c r="G11152" s="20"/>
      <c r="H11152"/>
      <c r="I11152"/>
    </row>
    <row r="11153" spans="2:9" ht="15" x14ac:dyDescent="0.25">
      <c r="B11153"/>
      <c r="C11153"/>
      <c r="D11153"/>
      <c r="E11153"/>
      <c r="F11153"/>
      <c r="G11153" s="20"/>
      <c r="H11153"/>
      <c r="I11153"/>
    </row>
    <row r="11154" spans="2:9" ht="15" x14ac:dyDescent="0.25">
      <c r="B11154"/>
      <c r="C11154"/>
      <c r="D11154"/>
      <c r="E11154"/>
      <c r="F11154"/>
      <c r="G11154" s="20"/>
      <c r="H11154"/>
      <c r="I11154"/>
    </row>
    <row r="11155" spans="2:9" ht="15" x14ac:dyDescent="0.25">
      <c r="B11155"/>
      <c r="C11155"/>
      <c r="D11155"/>
      <c r="E11155"/>
      <c r="F11155"/>
      <c r="G11155" s="20"/>
      <c r="H11155"/>
      <c r="I11155"/>
    </row>
    <row r="11156" spans="2:9" ht="15" x14ac:dyDescent="0.25">
      <c r="B11156"/>
      <c r="C11156"/>
      <c r="D11156"/>
      <c r="E11156"/>
      <c r="F11156"/>
      <c r="G11156" s="20"/>
      <c r="H11156"/>
      <c r="I11156"/>
    </row>
    <row r="11157" spans="2:9" ht="15" x14ac:dyDescent="0.25">
      <c r="B11157"/>
      <c r="C11157"/>
      <c r="D11157"/>
      <c r="E11157"/>
      <c r="F11157"/>
      <c r="G11157" s="20"/>
      <c r="H11157"/>
      <c r="I11157"/>
    </row>
    <row r="11158" spans="2:9" ht="15" x14ac:dyDescent="0.25">
      <c r="B11158"/>
      <c r="C11158"/>
      <c r="D11158"/>
      <c r="E11158"/>
      <c r="F11158"/>
      <c r="G11158" s="20"/>
      <c r="H11158"/>
      <c r="I11158"/>
    </row>
    <row r="11159" spans="2:9" ht="15" x14ac:dyDescent="0.25">
      <c r="B11159"/>
      <c r="C11159"/>
      <c r="D11159"/>
      <c r="E11159"/>
      <c r="F11159"/>
      <c r="G11159" s="20"/>
      <c r="H11159"/>
      <c r="I11159"/>
    </row>
    <row r="11160" spans="2:9" ht="15" x14ac:dyDescent="0.25">
      <c r="B11160"/>
      <c r="C11160"/>
      <c r="D11160"/>
      <c r="E11160"/>
      <c r="F11160"/>
      <c r="G11160" s="20"/>
      <c r="H11160"/>
      <c r="I11160"/>
    </row>
    <row r="11161" spans="2:9" ht="15" x14ac:dyDescent="0.25">
      <c r="B11161"/>
      <c r="C11161"/>
      <c r="D11161"/>
      <c r="E11161"/>
      <c r="F11161"/>
      <c r="G11161" s="20"/>
      <c r="H11161"/>
      <c r="I11161"/>
    </row>
    <row r="11162" spans="2:9" ht="15" x14ac:dyDescent="0.25">
      <c r="B11162"/>
      <c r="C11162"/>
      <c r="D11162"/>
      <c r="E11162"/>
      <c r="F11162"/>
      <c r="G11162" s="20"/>
      <c r="H11162"/>
      <c r="I11162"/>
    </row>
    <row r="11163" spans="2:9" ht="15" x14ac:dyDescent="0.25">
      <c r="B11163"/>
      <c r="C11163"/>
      <c r="D11163"/>
      <c r="E11163"/>
      <c r="F11163"/>
      <c r="G11163" s="20"/>
      <c r="H11163"/>
      <c r="I11163"/>
    </row>
    <row r="11164" spans="2:9" ht="15" x14ac:dyDescent="0.25">
      <c r="B11164"/>
      <c r="C11164"/>
      <c r="D11164"/>
      <c r="E11164"/>
      <c r="F11164"/>
      <c r="G11164" s="20"/>
      <c r="H11164"/>
      <c r="I11164"/>
    </row>
    <row r="11165" spans="2:9" ht="15" x14ac:dyDescent="0.25">
      <c r="B11165"/>
      <c r="C11165"/>
      <c r="D11165"/>
      <c r="E11165"/>
      <c r="F11165"/>
      <c r="G11165" s="20"/>
      <c r="H11165"/>
      <c r="I11165"/>
    </row>
    <row r="11166" spans="2:9" ht="15" x14ac:dyDescent="0.25">
      <c r="B11166"/>
      <c r="C11166"/>
      <c r="D11166"/>
      <c r="E11166"/>
      <c r="F11166"/>
      <c r="G11166" s="20"/>
      <c r="H11166"/>
      <c r="I11166"/>
    </row>
    <row r="11167" spans="2:9" ht="15" x14ac:dyDescent="0.25">
      <c r="B11167"/>
      <c r="C11167"/>
      <c r="D11167"/>
      <c r="E11167"/>
      <c r="F11167"/>
      <c r="G11167" s="20"/>
      <c r="H11167"/>
      <c r="I11167"/>
    </row>
    <row r="11168" spans="2:9" ht="15" x14ac:dyDescent="0.25">
      <c r="B11168"/>
      <c r="C11168"/>
      <c r="D11168"/>
      <c r="E11168"/>
      <c r="F11168"/>
      <c r="G11168" s="20"/>
      <c r="H11168"/>
      <c r="I11168"/>
    </row>
    <row r="11169" spans="2:9" ht="15" x14ac:dyDescent="0.25">
      <c r="B11169"/>
      <c r="C11169"/>
      <c r="D11169"/>
      <c r="E11169"/>
      <c r="F11169"/>
      <c r="G11169" s="20"/>
      <c r="H11169"/>
      <c r="I11169"/>
    </row>
    <row r="11170" spans="2:9" ht="15" x14ac:dyDescent="0.25">
      <c r="B11170"/>
      <c r="C11170"/>
      <c r="D11170"/>
      <c r="E11170"/>
      <c r="F11170"/>
      <c r="G11170" s="20"/>
      <c r="H11170"/>
      <c r="I11170"/>
    </row>
    <row r="11171" spans="2:9" ht="15" x14ac:dyDescent="0.25">
      <c r="B11171"/>
      <c r="C11171"/>
      <c r="D11171"/>
      <c r="E11171"/>
      <c r="F11171"/>
      <c r="G11171" s="20"/>
      <c r="H11171"/>
      <c r="I11171"/>
    </row>
    <row r="11172" spans="2:9" ht="15" x14ac:dyDescent="0.25">
      <c r="B11172"/>
      <c r="C11172"/>
      <c r="D11172"/>
      <c r="E11172"/>
      <c r="F11172"/>
      <c r="G11172" s="20"/>
      <c r="H11172"/>
      <c r="I11172"/>
    </row>
    <row r="11173" spans="2:9" ht="15" x14ac:dyDescent="0.25">
      <c r="B11173"/>
      <c r="C11173"/>
      <c r="D11173"/>
      <c r="E11173"/>
      <c r="F11173"/>
      <c r="G11173" s="20"/>
      <c r="H11173"/>
      <c r="I11173"/>
    </row>
    <row r="11174" spans="2:9" ht="15" x14ac:dyDescent="0.25">
      <c r="B11174"/>
      <c r="C11174"/>
      <c r="D11174"/>
      <c r="E11174"/>
      <c r="F11174"/>
      <c r="G11174" s="20"/>
      <c r="H11174"/>
      <c r="I11174"/>
    </row>
    <row r="11175" spans="2:9" ht="15" x14ac:dyDescent="0.25">
      <c r="B11175"/>
      <c r="C11175"/>
      <c r="D11175"/>
      <c r="E11175"/>
      <c r="F11175"/>
      <c r="G11175" s="20"/>
      <c r="H11175"/>
      <c r="I11175"/>
    </row>
    <row r="11176" spans="2:9" ht="15" x14ac:dyDescent="0.25">
      <c r="B11176"/>
      <c r="C11176"/>
      <c r="D11176"/>
      <c r="E11176"/>
      <c r="F11176"/>
      <c r="G11176" s="20"/>
      <c r="H11176"/>
      <c r="I11176"/>
    </row>
    <row r="11177" spans="2:9" ht="15" x14ac:dyDescent="0.25">
      <c r="B11177"/>
      <c r="C11177"/>
      <c r="D11177"/>
      <c r="E11177"/>
      <c r="F11177"/>
      <c r="G11177" s="20"/>
      <c r="H11177"/>
      <c r="I11177"/>
    </row>
    <row r="11178" spans="2:9" ht="15" x14ac:dyDescent="0.25">
      <c r="B11178"/>
      <c r="C11178"/>
      <c r="D11178"/>
      <c r="E11178"/>
      <c r="F11178"/>
      <c r="G11178" s="20"/>
      <c r="H11178"/>
      <c r="I11178"/>
    </row>
    <row r="11179" spans="2:9" ht="15" x14ac:dyDescent="0.25">
      <c r="B11179"/>
      <c r="C11179"/>
      <c r="D11179"/>
      <c r="E11179"/>
      <c r="F11179"/>
      <c r="G11179" s="20"/>
      <c r="H11179"/>
      <c r="I11179"/>
    </row>
    <row r="11180" spans="2:9" ht="15" x14ac:dyDescent="0.25">
      <c r="B11180"/>
      <c r="C11180"/>
      <c r="D11180"/>
      <c r="E11180"/>
      <c r="F11180"/>
      <c r="G11180" s="20"/>
      <c r="H11180"/>
      <c r="I11180"/>
    </row>
    <row r="11181" spans="2:9" ht="15" x14ac:dyDescent="0.25">
      <c r="B11181"/>
      <c r="C11181"/>
      <c r="D11181"/>
      <c r="E11181"/>
      <c r="F11181"/>
      <c r="G11181" s="20"/>
      <c r="H11181"/>
      <c r="I11181"/>
    </row>
    <row r="11182" spans="2:9" ht="15" x14ac:dyDescent="0.25">
      <c r="B11182"/>
      <c r="C11182"/>
      <c r="D11182"/>
      <c r="E11182"/>
      <c r="F11182"/>
      <c r="G11182" s="20"/>
      <c r="H11182"/>
      <c r="I11182"/>
    </row>
    <row r="11183" spans="2:9" ht="15" x14ac:dyDescent="0.25">
      <c r="B11183"/>
      <c r="C11183"/>
      <c r="D11183"/>
      <c r="E11183"/>
      <c r="F11183"/>
      <c r="G11183" s="20"/>
      <c r="H11183"/>
      <c r="I11183"/>
    </row>
    <row r="11184" spans="2:9" ht="15" x14ac:dyDescent="0.25">
      <c r="B11184"/>
      <c r="C11184"/>
      <c r="D11184"/>
      <c r="E11184"/>
      <c r="F11184"/>
      <c r="G11184" s="20"/>
      <c r="H11184"/>
      <c r="I11184"/>
    </row>
    <row r="11185" spans="2:9" ht="15" x14ac:dyDescent="0.25">
      <c r="B11185"/>
      <c r="C11185"/>
      <c r="D11185"/>
      <c r="E11185"/>
      <c r="F11185"/>
      <c r="G11185" s="20"/>
      <c r="H11185"/>
      <c r="I11185"/>
    </row>
    <row r="11186" spans="2:9" ht="15" x14ac:dyDescent="0.25">
      <c r="B11186"/>
      <c r="C11186"/>
      <c r="D11186"/>
      <c r="E11186"/>
      <c r="F11186"/>
      <c r="G11186" s="20"/>
      <c r="H11186"/>
      <c r="I11186"/>
    </row>
    <row r="11187" spans="2:9" ht="15" x14ac:dyDescent="0.25">
      <c r="B11187"/>
      <c r="C11187"/>
      <c r="D11187"/>
      <c r="E11187"/>
      <c r="F11187"/>
      <c r="G11187" s="20"/>
      <c r="H11187"/>
      <c r="I11187"/>
    </row>
    <row r="11188" spans="2:9" ht="15" x14ac:dyDescent="0.25">
      <c r="B11188"/>
      <c r="C11188"/>
      <c r="D11188"/>
      <c r="E11188"/>
      <c r="F11188"/>
      <c r="G11188" s="20"/>
      <c r="H11188"/>
      <c r="I11188"/>
    </row>
    <row r="11189" spans="2:9" ht="15" x14ac:dyDescent="0.25">
      <c r="B11189"/>
      <c r="C11189"/>
      <c r="D11189"/>
      <c r="E11189"/>
      <c r="F11189"/>
      <c r="G11189" s="20"/>
      <c r="H11189"/>
      <c r="I11189"/>
    </row>
    <row r="11190" spans="2:9" ht="15" x14ac:dyDescent="0.25">
      <c r="B11190"/>
      <c r="C11190"/>
      <c r="D11190"/>
      <c r="E11190"/>
      <c r="F11190"/>
      <c r="G11190" s="20"/>
      <c r="H11190"/>
      <c r="I11190"/>
    </row>
    <row r="11191" spans="2:9" ht="15" x14ac:dyDescent="0.25">
      <c r="B11191"/>
      <c r="C11191"/>
      <c r="D11191"/>
      <c r="E11191"/>
      <c r="F11191"/>
      <c r="G11191" s="20"/>
      <c r="H11191"/>
      <c r="I11191"/>
    </row>
    <row r="11192" spans="2:9" ht="15" x14ac:dyDescent="0.25">
      <c r="B11192"/>
      <c r="C11192"/>
      <c r="D11192"/>
      <c r="E11192"/>
      <c r="F11192"/>
      <c r="G11192" s="20"/>
      <c r="H11192"/>
      <c r="I11192"/>
    </row>
    <row r="11193" spans="2:9" ht="15" x14ac:dyDescent="0.25">
      <c r="B11193"/>
      <c r="C11193"/>
      <c r="D11193"/>
      <c r="E11193"/>
      <c r="F11193"/>
      <c r="G11193" s="20"/>
      <c r="H11193"/>
      <c r="I11193"/>
    </row>
    <row r="11194" spans="2:9" ht="15" x14ac:dyDescent="0.25">
      <c r="B11194"/>
      <c r="C11194"/>
      <c r="D11194"/>
      <c r="E11194"/>
      <c r="F11194"/>
      <c r="G11194" s="20"/>
      <c r="H11194"/>
      <c r="I11194"/>
    </row>
    <row r="11195" spans="2:9" ht="15" x14ac:dyDescent="0.25">
      <c r="B11195"/>
      <c r="C11195"/>
      <c r="D11195"/>
      <c r="E11195"/>
      <c r="F11195"/>
      <c r="G11195" s="20"/>
      <c r="H11195"/>
      <c r="I11195"/>
    </row>
    <row r="11196" spans="2:9" ht="15" x14ac:dyDescent="0.25">
      <c r="B11196"/>
      <c r="C11196"/>
      <c r="D11196"/>
      <c r="E11196"/>
      <c r="F11196"/>
      <c r="G11196" s="20"/>
      <c r="H11196"/>
      <c r="I11196"/>
    </row>
    <row r="11197" spans="2:9" ht="15" x14ac:dyDescent="0.25">
      <c r="B11197"/>
      <c r="C11197"/>
      <c r="D11197"/>
      <c r="E11197"/>
      <c r="F11197"/>
      <c r="G11197" s="20"/>
      <c r="H11197"/>
      <c r="I11197"/>
    </row>
    <row r="11198" spans="2:9" ht="15" x14ac:dyDescent="0.25">
      <c r="B11198"/>
      <c r="C11198"/>
      <c r="D11198"/>
      <c r="E11198"/>
      <c r="F11198"/>
      <c r="G11198" s="20"/>
      <c r="H11198"/>
      <c r="I11198"/>
    </row>
    <row r="11199" spans="2:9" ht="15" x14ac:dyDescent="0.25">
      <c r="B11199"/>
      <c r="C11199"/>
      <c r="D11199"/>
      <c r="E11199"/>
      <c r="F11199"/>
      <c r="G11199" s="20"/>
      <c r="H11199"/>
      <c r="I11199"/>
    </row>
    <row r="11200" spans="2:9" ht="15" x14ac:dyDescent="0.25">
      <c r="B11200"/>
      <c r="C11200"/>
      <c r="D11200"/>
      <c r="E11200"/>
      <c r="F11200"/>
      <c r="G11200" s="20"/>
      <c r="H11200"/>
      <c r="I11200"/>
    </row>
    <row r="11201" spans="2:9" ht="15" x14ac:dyDescent="0.25">
      <c r="B11201"/>
      <c r="C11201"/>
      <c r="D11201"/>
      <c r="E11201"/>
      <c r="F11201"/>
      <c r="G11201" s="20"/>
      <c r="H11201"/>
      <c r="I11201"/>
    </row>
    <row r="11202" spans="2:9" ht="15" x14ac:dyDescent="0.25">
      <c r="B11202"/>
      <c r="C11202"/>
      <c r="D11202"/>
      <c r="E11202"/>
      <c r="F11202"/>
      <c r="G11202" s="20"/>
      <c r="H11202"/>
      <c r="I11202"/>
    </row>
    <row r="11203" spans="2:9" ht="15" x14ac:dyDescent="0.25">
      <c r="B11203"/>
      <c r="C11203"/>
      <c r="D11203"/>
      <c r="E11203"/>
      <c r="F11203"/>
      <c r="G11203" s="20"/>
      <c r="H11203"/>
      <c r="I11203"/>
    </row>
    <row r="11204" spans="2:9" ht="15" x14ac:dyDescent="0.25">
      <c r="B11204"/>
      <c r="C11204"/>
      <c r="D11204"/>
      <c r="E11204"/>
      <c r="F11204"/>
      <c r="G11204" s="20"/>
      <c r="H11204"/>
      <c r="I11204"/>
    </row>
    <row r="11205" spans="2:9" ht="15" x14ac:dyDescent="0.25">
      <c r="B11205"/>
      <c r="C11205"/>
      <c r="D11205"/>
      <c r="E11205"/>
      <c r="F11205"/>
      <c r="G11205" s="20"/>
      <c r="H11205"/>
      <c r="I11205"/>
    </row>
    <row r="11206" spans="2:9" ht="15" x14ac:dyDescent="0.25">
      <c r="B11206"/>
      <c r="C11206"/>
      <c r="D11206"/>
      <c r="E11206"/>
      <c r="F11206"/>
      <c r="G11206" s="20"/>
      <c r="H11206"/>
      <c r="I11206"/>
    </row>
    <row r="11207" spans="2:9" ht="15" x14ac:dyDescent="0.25">
      <c r="B11207"/>
      <c r="C11207"/>
      <c r="D11207"/>
      <c r="E11207"/>
      <c r="F11207"/>
      <c r="G11207" s="20"/>
      <c r="H11207"/>
      <c r="I11207"/>
    </row>
    <row r="11208" spans="2:9" ht="15" x14ac:dyDescent="0.25">
      <c r="B11208"/>
      <c r="C11208"/>
      <c r="D11208"/>
      <c r="E11208"/>
      <c r="F11208"/>
      <c r="G11208" s="20"/>
      <c r="H11208"/>
      <c r="I11208"/>
    </row>
    <row r="11209" spans="2:9" ht="15" x14ac:dyDescent="0.25">
      <c r="B11209"/>
      <c r="C11209"/>
      <c r="D11209"/>
      <c r="E11209"/>
      <c r="F11209"/>
      <c r="G11209" s="20"/>
      <c r="H11209"/>
      <c r="I11209"/>
    </row>
    <row r="11210" spans="2:9" ht="15" x14ac:dyDescent="0.25">
      <c r="B11210"/>
      <c r="C11210"/>
      <c r="D11210"/>
      <c r="E11210"/>
      <c r="F11210"/>
      <c r="G11210" s="20"/>
      <c r="H11210"/>
      <c r="I11210"/>
    </row>
    <row r="11211" spans="2:9" ht="15" x14ac:dyDescent="0.25">
      <c r="B11211"/>
      <c r="C11211"/>
      <c r="D11211"/>
      <c r="E11211"/>
      <c r="F11211"/>
      <c r="G11211" s="20"/>
      <c r="H11211"/>
      <c r="I11211"/>
    </row>
    <row r="11212" spans="2:9" ht="15" x14ac:dyDescent="0.25">
      <c r="B11212"/>
      <c r="C11212"/>
      <c r="D11212"/>
      <c r="E11212"/>
      <c r="F11212"/>
      <c r="G11212" s="20"/>
      <c r="H11212"/>
      <c r="I11212"/>
    </row>
    <row r="11213" spans="2:9" ht="15" x14ac:dyDescent="0.25">
      <c r="B11213"/>
      <c r="C11213"/>
      <c r="D11213"/>
      <c r="E11213"/>
      <c r="F11213"/>
      <c r="G11213" s="20"/>
      <c r="H11213"/>
      <c r="I11213"/>
    </row>
    <row r="11214" spans="2:9" ht="15" x14ac:dyDescent="0.25">
      <c r="B11214"/>
      <c r="C11214"/>
      <c r="D11214"/>
      <c r="E11214"/>
      <c r="F11214"/>
      <c r="G11214" s="20"/>
      <c r="H11214"/>
      <c r="I11214"/>
    </row>
    <row r="11215" spans="2:9" ht="15" x14ac:dyDescent="0.25">
      <c r="B11215"/>
      <c r="C11215"/>
      <c r="D11215"/>
      <c r="E11215"/>
      <c r="F11215"/>
      <c r="G11215" s="20"/>
      <c r="H11215"/>
      <c r="I11215"/>
    </row>
    <row r="11216" spans="2:9" ht="15" x14ac:dyDescent="0.25">
      <c r="B11216"/>
      <c r="C11216"/>
      <c r="D11216"/>
      <c r="E11216"/>
      <c r="F11216"/>
      <c r="G11216" s="20"/>
      <c r="H11216"/>
      <c r="I11216"/>
    </row>
    <row r="11217" spans="2:9" ht="15" x14ac:dyDescent="0.25">
      <c r="B11217"/>
      <c r="C11217"/>
      <c r="D11217"/>
      <c r="E11217"/>
      <c r="F11217"/>
      <c r="G11217" s="20"/>
      <c r="H11217"/>
      <c r="I11217"/>
    </row>
    <row r="11218" spans="2:9" ht="15" x14ac:dyDescent="0.25">
      <c r="B11218"/>
      <c r="C11218"/>
      <c r="D11218"/>
      <c r="E11218"/>
      <c r="F11218"/>
      <c r="G11218" s="20"/>
      <c r="H11218"/>
      <c r="I11218"/>
    </row>
    <row r="11219" spans="2:9" ht="15" x14ac:dyDescent="0.25">
      <c r="B11219"/>
      <c r="C11219"/>
      <c r="D11219"/>
      <c r="E11219"/>
      <c r="F11219"/>
      <c r="G11219" s="20"/>
      <c r="H11219"/>
      <c r="I11219"/>
    </row>
    <row r="11220" spans="2:9" ht="15" x14ac:dyDescent="0.25">
      <c r="B11220"/>
      <c r="C11220"/>
      <c r="D11220"/>
      <c r="E11220"/>
      <c r="F11220"/>
      <c r="G11220" s="20"/>
      <c r="H11220"/>
      <c r="I11220"/>
    </row>
    <row r="11221" spans="2:9" ht="15" x14ac:dyDescent="0.25">
      <c r="B11221"/>
      <c r="C11221"/>
      <c r="D11221"/>
      <c r="E11221"/>
      <c r="F11221"/>
      <c r="G11221" s="20"/>
      <c r="H11221"/>
      <c r="I11221"/>
    </row>
    <row r="11222" spans="2:9" ht="15" x14ac:dyDescent="0.25">
      <c r="B11222"/>
      <c r="C11222"/>
      <c r="D11222"/>
      <c r="E11222"/>
      <c r="F11222"/>
      <c r="G11222" s="20"/>
      <c r="H11222"/>
      <c r="I11222"/>
    </row>
    <row r="11223" spans="2:9" ht="15" x14ac:dyDescent="0.25">
      <c r="B11223"/>
      <c r="C11223"/>
      <c r="D11223"/>
      <c r="E11223"/>
      <c r="F11223"/>
      <c r="G11223" s="20"/>
      <c r="H11223"/>
      <c r="I11223"/>
    </row>
    <row r="11224" spans="2:9" ht="15" x14ac:dyDescent="0.25">
      <c r="B11224"/>
      <c r="C11224"/>
      <c r="D11224"/>
      <c r="E11224"/>
      <c r="F11224"/>
      <c r="G11224" s="20"/>
      <c r="H11224"/>
      <c r="I11224"/>
    </row>
    <row r="11225" spans="2:9" ht="15" x14ac:dyDescent="0.25">
      <c r="B11225"/>
      <c r="C11225"/>
      <c r="D11225"/>
      <c r="E11225"/>
      <c r="F11225"/>
      <c r="G11225" s="20"/>
      <c r="H11225"/>
      <c r="I11225"/>
    </row>
    <row r="11226" spans="2:9" ht="15" x14ac:dyDescent="0.25">
      <c r="B11226"/>
      <c r="C11226"/>
      <c r="D11226"/>
      <c r="E11226"/>
      <c r="F11226"/>
      <c r="G11226" s="20"/>
      <c r="H11226"/>
      <c r="I11226"/>
    </row>
    <row r="11227" spans="2:9" ht="15" x14ac:dyDescent="0.25">
      <c r="B11227"/>
      <c r="C11227"/>
      <c r="D11227"/>
      <c r="E11227"/>
      <c r="F11227"/>
      <c r="G11227" s="20"/>
      <c r="H11227"/>
      <c r="I11227"/>
    </row>
    <row r="11228" spans="2:9" ht="15" x14ac:dyDescent="0.25">
      <c r="B11228"/>
      <c r="C11228"/>
      <c r="D11228"/>
      <c r="E11228"/>
      <c r="F11228"/>
      <c r="G11228" s="20"/>
      <c r="H11228"/>
      <c r="I11228"/>
    </row>
    <row r="11229" spans="2:9" ht="15" x14ac:dyDescent="0.25">
      <c r="B11229"/>
      <c r="C11229"/>
      <c r="D11229"/>
      <c r="E11229"/>
      <c r="F11229"/>
      <c r="G11229" s="20"/>
      <c r="H11229"/>
      <c r="I11229"/>
    </row>
    <row r="11230" spans="2:9" ht="15" x14ac:dyDescent="0.25">
      <c r="B11230"/>
      <c r="C11230"/>
      <c r="D11230"/>
      <c r="E11230"/>
      <c r="F11230"/>
      <c r="G11230" s="20"/>
      <c r="H11230"/>
      <c r="I11230"/>
    </row>
    <row r="11231" spans="2:9" ht="15" x14ac:dyDescent="0.25">
      <c r="B11231"/>
      <c r="C11231"/>
      <c r="D11231"/>
      <c r="E11231"/>
      <c r="F11231"/>
      <c r="G11231" s="20"/>
      <c r="H11231"/>
      <c r="I11231"/>
    </row>
    <row r="11232" spans="2:9" ht="15" x14ac:dyDescent="0.25">
      <c r="B11232"/>
      <c r="C11232"/>
      <c r="D11232"/>
      <c r="E11232"/>
      <c r="F11232"/>
      <c r="G11232" s="20"/>
      <c r="H11232"/>
      <c r="I11232"/>
    </row>
    <row r="11233" spans="2:9" ht="15" x14ac:dyDescent="0.25">
      <c r="B11233"/>
      <c r="C11233"/>
      <c r="D11233"/>
      <c r="E11233"/>
      <c r="F11233"/>
      <c r="G11233" s="20"/>
      <c r="H11233"/>
      <c r="I11233"/>
    </row>
    <row r="11234" spans="2:9" ht="15" x14ac:dyDescent="0.25">
      <c r="B11234"/>
      <c r="C11234"/>
      <c r="D11234"/>
      <c r="E11234"/>
      <c r="F11234"/>
      <c r="G11234" s="20"/>
      <c r="H11234"/>
      <c r="I11234"/>
    </row>
    <row r="11235" spans="2:9" ht="15" x14ac:dyDescent="0.25">
      <c r="B11235"/>
      <c r="C11235"/>
      <c r="D11235"/>
      <c r="E11235"/>
      <c r="F11235"/>
      <c r="G11235" s="20"/>
      <c r="H11235"/>
      <c r="I11235"/>
    </row>
    <row r="11236" spans="2:9" ht="15" x14ac:dyDescent="0.25">
      <c r="B11236"/>
      <c r="C11236"/>
      <c r="D11236"/>
      <c r="E11236"/>
      <c r="F11236"/>
      <c r="G11236" s="20"/>
      <c r="H11236"/>
      <c r="I11236"/>
    </row>
    <row r="11237" spans="2:9" ht="15" x14ac:dyDescent="0.25">
      <c r="B11237"/>
      <c r="C11237"/>
      <c r="D11237"/>
      <c r="E11237"/>
      <c r="F11237"/>
      <c r="G11237" s="20"/>
      <c r="H11237"/>
      <c r="I11237"/>
    </row>
    <row r="11238" spans="2:9" ht="15" x14ac:dyDescent="0.25">
      <c r="B11238"/>
      <c r="C11238"/>
      <c r="D11238"/>
      <c r="E11238"/>
      <c r="F11238"/>
      <c r="G11238" s="20"/>
      <c r="H11238"/>
      <c r="I11238"/>
    </row>
    <row r="11239" spans="2:9" ht="15" x14ac:dyDescent="0.25">
      <c r="B11239"/>
      <c r="C11239"/>
      <c r="D11239"/>
      <c r="E11239"/>
      <c r="F11239"/>
      <c r="G11239" s="20"/>
      <c r="H11239"/>
      <c r="I11239"/>
    </row>
    <row r="11240" spans="2:9" ht="15" x14ac:dyDescent="0.25">
      <c r="B11240"/>
      <c r="C11240"/>
      <c r="D11240"/>
      <c r="E11240"/>
      <c r="F11240"/>
      <c r="G11240" s="20"/>
      <c r="H11240"/>
      <c r="I11240"/>
    </row>
    <row r="11241" spans="2:9" ht="15" x14ac:dyDescent="0.25">
      <c r="B11241"/>
      <c r="C11241"/>
      <c r="D11241"/>
      <c r="E11241"/>
      <c r="F11241"/>
      <c r="G11241" s="20"/>
      <c r="H11241"/>
      <c r="I11241"/>
    </row>
    <row r="11242" spans="2:9" ht="15" x14ac:dyDescent="0.25">
      <c r="B11242"/>
      <c r="C11242"/>
      <c r="D11242"/>
      <c r="E11242"/>
      <c r="F11242"/>
      <c r="G11242" s="20"/>
      <c r="H11242"/>
      <c r="I11242"/>
    </row>
    <row r="11243" spans="2:9" ht="15" x14ac:dyDescent="0.25">
      <c r="B11243"/>
      <c r="C11243"/>
      <c r="D11243"/>
      <c r="E11243"/>
      <c r="F11243"/>
      <c r="G11243" s="20"/>
      <c r="H11243"/>
      <c r="I11243"/>
    </row>
    <row r="11244" spans="2:9" ht="15" x14ac:dyDescent="0.25">
      <c r="B11244"/>
      <c r="C11244"/>
      <c r="D11244"/>
      <c r="E11244"/>
      <c r="F11244"/>
      <c r="G11244" s="20"/>
      <c r="H11244"/>
      <c r="I11244"/>
    </row>
    <row r="11245" spans="2:9" ht="15" x14ac:dyDescent="0.25">
      <c r="B11245"/>
      <c r="C11245"/>
      <c r="D11245"/>
      <c r="E11245"/>
      <c r="F11245"/>
      <c r="G11245" s="20"/>
      <c r="H11245"/>
      <c r="I11245"/>
    </row>
    <row r="11246" spans="2:9" ht="15" x14ac:dyDescent="0.25">
      <c r="B11246"/>
      <c r="C11246"/>
      <c r="D11246"/>
      <c r="E11246"/>
      <c r="F11246"/>
      <c r="G11246" s="20"/>
      <c r="H11246"/>
      <c r="I11246"/>
    </row>
    <row r="11247" spans="2:9" ht="15" x14ac:dyDescent="0.25">
      <c r="B11247"/>
      <c r="C11247"/>
      <c r="D11247"/>
      <c r="E11247"/>
      <c r="F11247"/>
      <c r="G11247" s="20"/>
      <c r="H11247"/>
      <c r="I11247"/>
    </row>
    <row r="11248" spans="2:9" ht="15" x14ac:dyDescent="0.25">
      <c r="B11248"/>
      <c r="C11248"/>
      <c r="D11248"/>
      <c r="E11248"/>
      <c r="F11248"/>
      <c r="G11248" s="20"/>
      <c r="H11248"/>
      <c r="I11248"/>
    </row>
    <row r="11249" spans="2:9" ht="15" x14ac:dyDescent="0.25">
      <c r="B11249"/>
      <c r="C11249"/>
      <c r="D11249"/>
      <c r="E11249"/>
      <c r="F11249"/>
      <c r="G11249" s="20"/>
      <c r="H11249"/>
      <c r="I11249"/>
    </row>
    <row r="11250" spans="2:9" ht="15" x14ac:dyDescent="0.25">
      <c r="B11250"/>
      <c r="C11250"/>
      <c r="D11250"/>
      <c r="E11250"/>
      <c r="F11250"/>
      <c r="G11250" s="20"/>
      <c r="H11250"/>
      <c r="I11250"/>
    </row>
    <row r="11251" spans="2:9" ht="15" x14ac:dyDescent="0.25">
      <c r="B11251"/>
      <c r="C11251"/>
      <c r="D11251"/>
      <c r="E11251"/>
      <c r="F11251"/>
      <c r="G11251" s="20"/>
      <c r="H11251"/>
      <c r="I11251"/>
    </row>
    <row r="11252" spans="2:9" ht="15" x14ac:dyDescent="0.25">
      <c r="B11252"/>
      <c r="C11252"/>
      <c r="D11252"/>
      <c r="E11252"/>
      <c r="F11252"/>
      <c r="G11252" s="20"/>
      <c r="H11252"/>
      <c r="I11252"/>
    </row>
    <row r="11253" spans="2:9" ht="15" x14ac:dyDescent="0.25">
      <c r="B11253"/>
      <c r="C11253"/>
      <c r="D11253"/>
      <c r="E11253"/>
      <c r="F11253"/>
      <c r="G11253" s="20"/>
      <c r="H11253"/>
      <c r="I11253"/>
    </row>
    <row r="11254" spans="2:9" ht="15" x14ac:dyDescent="0.25">
      <c r="B11254"/>
      <c r="C11254"/>
      <c r="D11254"/>
      <c r="E11254"/>
      <c r="F11254"/>
      <c r="G11254" s="20"/>
      <c r="H11254"/>
      <c r="I11254"/>
    </row>
    <row r="11255" spans="2:9" ht="15" x14ac:dyDescent="0.25">
      <c r="B11255"/>
      <c r="C11255"/>
      <c r="D11255"/>
      <c r="E11255"/>
      <c r="F11255"/>
      <c r="G11255" s="20"/>
      <c r="H11255"/>
      <c r="I11255"/>
    </row>
    <row r="11256" spans="2:9" ht="15" x14ac:dyDescent="0.25">
      <c r="B11256"/>
      <c r="C11256"/>
      <c r="D11256"/>
      <c r="E11256"/>
      <c r="F11256"/>
      <c r="G11256" s="20"/>
      <c r="H11256"/>
      <c r="I11256"/>
    </row>
    <row r="11257" spans="2:9" ht="15" x14ac:dyDescent="0.25">
      <c r="B11257"/>
      <c r="C11257"/>
      <c r="D11257"/>
      <c r="E11257"/>
      <c r="F11257"/>
      <c r="G11257" s="20"/>
      <c r="H11257"/>
      <c r="I11257"/>
    </row>
    <row r="11258" spans="2:9" ht="15" x14ac:dyDescent="0.25">
      <c r="B11258"/>
      <c r="C11258"/>
      <c r="D11258"/>
      <c r="E11258"/>
      <c r="F11258"/>
      <c r="G11258" s="20"/>
      <c r="H11258"/>
      <c r="I11258"/>
    </row>
    <row r="11259" spans="2:9" ht="15" x14ac:dyDescent="0.25">
      <c r="B11259"/>
      <c r="C11259"/>
      <c r="D11259"/>
      <c r="E11259"/>
      <c r="F11259"/>
      <c r="G11259" s="20"/>
      <c r="H11259"/>
      <c r="I11259"/>
    </row>
    <row r="11260" spans="2:9" ht="15" x14ac:dyDescent="0.25">
      <c r="B11260"/>
      <c r="C11260"/>
      <c r="D11260"/>
      <c r="E11260"/>
      <c r="F11260"/>
      <c r="G11260" s="20"/>
      <c r="H11260"/>
      <c r="I11260"/>
    </row>
    <row r="11261" spans="2:9" ht="15" x14ac:dyDescent="0.25">
      <c r="B11261"/>
      <c r="C11261"/>
      <c r="D11261"/>
      <c r="E11261"/>
      <c r="F11261"/>
      <c r="G11261" s="20"/>
      <c r="H11261"/>
      <c r="I11261"/>
    </row>
    <row r="11262" spans="2:9" ht="15" x14ac:dyDescent="0.25">
      <c r="B11262"/>
      <c r="C11262"/>
      <c r="D11262"/>
      <c r="E11262"/>
      <c r="F11262"/>
      <c r="G11262" s="20"/>
      <c r="H11262"/>
      <c r="I11262"/>
    </row>
    <row r="11263" spans="2:9" ht="15" x14ac:dyDescent="0.25">
      <c r="B11263"/>
      <c r="C11263"/>
      <c r="D11263"/>
      <c r="E11263"/>
      <c r="F11263"/>
      <c r="G11263" s="20"/>
      <c r="H11263"/>
      <c r="I11263"/>
    </row>
    <row r="11264" spans="2:9" ht="15" x14ac:dyDescent="0.25">
      <c r="B11264"/>
      <c r="C11264"/>
      <c r="D11264"/>
      <c r="E11264"/>
      <c r="F11264"/>
      <c r="G11264" s="20"/>
      <c r="H11264"/>
      <c r="I11264"/>
    </row>
    <row r="11265" spans="2:9" ht="15" x14ac:dyDescent="0.25">
      <c r="B11265"/>
      <c r="C11265"/>
      <c r="D11265"/>
      <c r="E11265"/>
      <c r="F11265"/>
      <c r="G11265" s="20"/>
      <c r="H11265"/>
      <c r="I11265"/>
    </row>
    <row r="11266" spans="2:9" ht="15" x14ac:dyDescent="0.25">
      <c r="B11266"/>
      <c r="C11266"/>
      <c r="D11266"/>
      <c r="E11266"/>
      <c r="F11266"/>
      <c r="G11266" s="20"/>
      <c r="H11266"/>
      <c r="I11266"/>
    </row>
    <row r="11267" spans="2:9" ht="15" x14ac:dyDescent="0.25">
      <c r="B11267"/>
      <c r="C11267"/>
      <c r="D11267"/>
      <c r="E11267"/>
      <c r="F11267"/>
      <c r="G11267" s="20"/>
      <c r="H11267"/>
      <c r="I11267"/>
    </row>
    <row r="11268" spans="2:9" ht="15" x14ac:dyDescent="0.25">
      <c r="B11268"/>
      <c r="C11268"/>
      <c r="D11268"/>
      <c r="E11268"/>
      <c r="F11268"/>
      <c r="G11268" s="20"/>
      <c r="H11268"/>
      <c r="I11268"/>
    </row>
    <row r="11269" spans="2:9" ht="15" x14ac:dyDescent="0.25">
      <c r="B11269"/>
      <c r="C11269"/>
      <c r="D11269"/>
      <c r="E11269"/>
      <c r="F11269"/>
      <c r="G11269" s="20"/>
      <c r="H11269"/>
      <c r="I11269"/>
    </row>
    <row r="11270" spans="2:9" ht="15" x14ac:dyDescent="0.25">
      <c r="B11270"/>
      <c r="C11270"/>
      <c r="D11270"/>
      <c r="E11270"/>
      <c r="F11270"/>
      <c r="G11270" s="20"/>
      <c r="H11270"/>
      <c r="I11270"/>
    </row>
    <row r="11271" spans="2:9" ht="15" x14ac:dyDescent="0.25">
      <c r="B11271"/>
      <c r="C11271"/>
      <c r="D11271"/>
      <c r="E11271"/>
      <c r="F11271"/>
      <c r="G11271" s="20"/>
      <c r="H11271"/>
      <c r="I11271"/>
    </row>
    <row r="11272" spans="2:9" ht="15" x14ac:dyDescent="0.25">
      <c r="B11272"/>
      <c r="C11272"/>
      <c r="D11272"/>
      <c r="E11272"/>
      <c r="F11272"/>
      <c r="G11272" s="20"/>
      <c r="H11272"/>
      <c r="I11272"/>
    </row>
    <row r="11273" spans="2:9" ht="15" x14ac:dyDescent="0.25">
      <c r="B11273"/>
      <c r="C11273"/>
      <c r="D11273"/>
      <c r="E11273"/>
      <c r="F11273"/>
      <c r="G11273" s="20"/>
      <c r="H11273"/>
      <c r="I11273"/>
    </row>
    <row r="11274" spans="2:9" ht="15" x14ac:dyDescent="0.25">
      <c r="B11274"/>
      <c r="C11274"/>
      <c r="D11274"/>
      <c r="E11274"/>
      <c r="F11274"/>
      <c r="G11274" s="20"/>
      <c r="H11274"/>
      <c r="I11274"/>
    </row>
    <row r="11275" spans="2:9" ht="15" x14ac:dyDescent="0.25">
      <c r="B11275"/>
      <c r="C11275"/>
      <c r="D11275"/>
      <c r="E11275"/>
      <c r="F11275"/>
      <c r="G11275" s="20"/>
      <c r="H11275"/>
      <c r="I11275"/>
    </row>
    <row r="11276" spans="2:9" ht="15" x14ac:dyDescent="0.25">
      <c r="B11276"/>
      <c r="C11276"/>
      <c r="D11276"/>
      <c r="E11276"/>
      <c r="F11276"/>
      <c r="G11276" s="20"/>
      <c r="H11276"/>
      <c r="I11276"/>
    </row>
    <row r="11277" spans="2:9" ht="15" x14ac:dyDescent="0.25">
      <c r="B11277"/>
      <c r="C11277"/>
      <c r="D11277"/>
      <c r="E11277"/>
      <c r="F11277"/>
      <c r="G11277" s="20"/>
      <c r="H11277"/>
      <c r="I11277"/>
    </row>
    <row r="11278" spans="2:9" ht="15" x14ac:dyDescent="0.25">
      <c r="B11278"/>
      <c r="C11278"/>
      <c r="D11278"/>
      <c r="E11278"/>
      <c r="F11278"/>
      <c r="G11278" s="20"/>
      <c r="H11278"/>
      <c r="I11278"/>
    </row>
    <row r="11279" spans="2:9" ht="15" x14ac:dyDescent="0.25">
      <c r="B11279"/>
      <c r="C11279"/>
      <c r="D11279"/>
      <c r="E11279"/>
      <c r="F11279"/>
      <c r="G11279" s="20"/>
      <c r="H11279"/>
      <c r="I11279"/>
    </row>
    <row r="11280" spans="2:9" ht="15" x14ac:dyDescent="0.25">
      <c r="B11280"/>
      <c r="C11280"/>
      <c r="D11280"/>
      <c r="E11280"/>
      <c r="F11280"/>
      <c r="G11280" s="20"/>
      <c r="H11280"/>
      <c r="I11280"/>
    </row>
    <row r="11281" spans="2:9" ht="15" x14ac:dyDescent="0.25">
      <c r="B11281"/>
      <c r="C11281"/>
      <c r="D11281"/>
      <c r="E11281"/>
      <c r="F11281"/>
      <c r="G11281" s="20"/>
      <c r="H11281"/>
      <c r="I11281"/>
    </row>
    <row r="11282" spans="2:9" ht="15" x14ac:dyDescent="0.25">
      <c r="B11282"/>
      <c r="C11282"/>
      <c r="D11282"/>
      <c r="E11282"/>
      <c r="F11282"/>
      <c r="G11282" s="20"/>
      <c r="H11282"/>
      <c r="I11282"/>
    </row>
    <row r="11283" spans="2:9" ht="15" x14ac:dyDescent="0.25">
      <c r="B11283"/>
      <c r="C11283"/>
      <c r="D11283"/>
      <c r="E11283"/>
      <c r="F11283"/>
      <c r="G11283" s="20"/>
      <c r="H11283"/>
      <c r="I11283"/>
    </row>
    <row r="11284" spans="2:9" ht="15" x14ac:dyDescent="0.25">
      <c r="B11284"/>
      <c r="C11284"/>
      <c r="D11284"/>
      <c r="E11284"/>
      <c r="F11284"/>
      <c r="G11284" s="20"/>
      <c r="H11284"/>
      <c r="I11284"/>
    </row>
    <row r="11285" spans="2:9" ht="15" x14ac:dyDescent="0.25">
      <c r="B11285"/>
      <c r="C11285"/>
      <c r="D11285"/>
      <c r="E11285"/>
      <c r="F11285"/>
      <c r="G11285" s="20"/>
      <c r="H11285"/>
      <c r="I11285"/>
    </row>
    <row r="11286" spans="2:9" ht="15" x14ac:dyDescent="0.25">
      <c r="B11286"/>
      <c r="C11286"/>
      <c r="D11286"/>
      <c r="E11286"/>
      <c r="F11286"/>
      <c r="G11286" s="20"/>
      <c r="H11286"/>
      <c r="I11286"/>
    </row>
    <row r="11287" spans="2:9" ht="15" x14ac:dyDescent="0.25">
      <c r="B11287"/>
      <c r="C11287"/>
      <c r="D11287"/>
      <c r="E11287"/>
      <c r="F11287"/>
      <c r="G11287" s="20"/>
      <c r="H11287"/>
      <c r="I11287"/>
    </row>
    <row r="11288" spans="2:9" ht="15" x14ac:dyDescent="0.25">
      <c r="B11288"/>
      <c r="C11288"/>
      <c r="D11288"/>
      <c r="E11288"/>
      <c r="F11288"/>
      <c r="G11288" s="20"/>
      <c r="H11288"/>
      <c r="I11288"/>
    </row>
    <row r="11289" spans="2:9" ht="15" x14ac:dyDescent="0.25">
      <c r="B11289"/>
      <c r="C11289"/>
      <c r="D11289"/>
      <c r="E11289"/>
      <c r="F11289"/>
      <c r="G11289" s="20"/>
      <c r="H11289"/>
      <c r="I11289"/>
    </row>
    <row r="11290" spans="2:9" ht="15" x14ac:dyDescent="0.25">
      <c r="B11290"/>
      <c r="C11290"/>
      <c r="D11290"/>
      <c r="E11290"/>
      <c r="F11290"/>
      <c r="G11290" s="20"/>
      <c r="H11290"/>
      <c r="I11290"/>
    </row>
    <row r="11291" spans="2:9" ht="15" x14ac:dyDescent="0.25">
      <c r="B11291"/>
      <c r="C11291"/>
      <c r="D11291"/>
      <c r="E11291"/>
      <c r="F11291"/>
      <c r="G11291" s="20"/>
      <c r="H11291"/>
      <c r="I11291"/>
    </row>
    <row r="11292" spans="2:9" ht="15" x14ac:dyDescent="0.25">
      <c r="B11292"/>
      <c r="C11292"/>
      <c r="D11292"/>
      <c r="E11292"/>
      <c r="F11292"/>
      <c r="G11292" s="20"/>
      <c r="H11292"/>
      <c r="I11292"/>
    </row>
    <row r="11293" spans="2:9" ht="15" x14ac:dyDescent="0.25">
      <c r="B11293"/>
      <c r="C11293"/>
      <c r="D11293"/>
      <c r="E11293"/>
      <c r="F11293"/>
      <c r="G11293" s="20"/>
      <c r="H11293"/>
      <c r="I11293"/>
    </row>
    <row r="11294" spans="2:9" ht="15" x14ac:dyDescent="0.25">
      <c r="B11294"/>
      <c r="C11294"/>
      <c r="D11294"/>
      <c r="E11294"/>
      <c r="F11294"/>
      <c r="G11294" s="20"/>
      <c r="H11294"/>
      <c r="I11294"/>
    </row>
    <row r="11295" spans="2:9" ht="15" x14ac:dyDescent="0.25">
      <c r="B11295"/>
      <c r="C11295"/>
      <c r="D11295"/>
      <c r="E11295"/>
      <c r="F11295"/>
      <c r="G11295" s="20"/>
      <c r="H11295"/>
      <c r="I11295"/>
    </row>
    <row r="11296" spans="2:9" ht="15" x14ac:dyDescent="0.25">
      <c r="B11296"/>
      <c r="C11296"/>
      <c r="D11296"/>
      <c r="E11296"/>
      <c r="F11296"/>
      <c r="G11296" s="20"/>
      <c r="H11296"/>
      <c r="I11296"/>
    </row>
    <row r="11297" spans="2:9" ht="15" x14ac:dyDescent="0.25">
      <c r="B11297"/>
      <c r="C11297"/>
      <c r="D11297"/>
      <c r="E11297"/>
      <c r="F11297"/>
      <c r="G11297" s="20"/>
      <c r="H11297"/>
      <c r="I11297"/>
    </row>
    <row r="11298" spans="2:9" ht="15" x14ac:dyDescent="0.25">
      <c r="B11298"/>
      <c r="C11298"/>
      <c r="D11298"/>
      <c r="E11298"/>
      <c r="F11298"/>
      <c r="G11298" s="20"/>
      <c r="H11298"/>
      <c r="I11298"/>
    </row>
    <row r="11299" spans="2:9" ht="15" x14ac:dyDescent="0.25">
      <c r="B11299"/>
      <c r="C11299"/>
      <c r="D11299"/>
      <c r="E11299"/>
      <c r="F11299"/>
      <c r="G11299" s="20"/>
      <c r="H11299"/>
      <c r="I11299"/>
    </row>
    <row r="11300" spans="2:9" ht="15" x14ac:dyDescent="0.25">
      <c r="B11300"/>
      <c r="C11300"/>
      <c r="D11300"/>
      <c r="E11300"/>
      <c r="F11300"/>
      <c r="G11300" s="20"/>
      <c r="H11300"/>
      <c r="I11300"/>
    </row>
    <row r="11301" spans="2:9" ht="15" x14ac:dyDescent="0.25">
      <c r="B11301"/>
      <c r="C11301"/>
      <c r="D11301"/>
      <c r="E11301"/>
      <c r="F11301"/>
      <c r="G11301" s="20"/>
      <c r="H11301"/>
      <c r="I11301"/>
    </row>
    <row r="11302" spans="2:9" ht="15" x14ac:dyDescent="0.25">
      <c r="B11302"/>
      <c r="C11302"/>
      <c r="D11302"/>
      <c r="E11302"/>
      <c r="F11302"/>
      <c r="G11302" s="20"/>
      <c r="H11302"/>
      <c r="I11302"/>
    </row>
    <row r="11303" spans="2:9" ht="15" x14ac:dyDescent="0.25">
      <c r="B11303"/>
      <c r="C11303"/>
      <c r="D11303"/>
      <c r="E11303"/>
      <c r="F11303"/>
      <c r="G11303" s="20"/>
      <c r="H11303"/>
      <c r="I11303"/>
    </row>
    <row r="11304" spans="2:9" ht="15" x14ac:dyDescent="0.25">
      <c r="B11304"/>
      <c r="C11304"/>
      <c r="D11304"/>
      <c r="E11304"/>
      <c r="F11304"/>
      <c r="G11304" s="20"/>
      <c r="H11304"/>
      <c r="I11304"/>
    </row>
    <row r="11305" spans="2:9" ht="15" x14ac:dyDescent="0.25">
      <c r="B11305"/>
      <c r="C11305"/>
      <c r="D11305"/>
      <c r="E11305"/>
      <c r="F11305"/>
      <c r="G11305" s="20"/>
      <c r="H11305"/>
      <c r="I11305"/>
    </row>
    <row r="11306" spans="2:9" ht="15" x14ac:dyDescent="0.25">
      <c r="B11306"/>
      <c r="C11306"/>
      <c r="D11306"/>
      <c r="E11306"/>
      <c r="F11306"/>
      <c r="G11306" s="20"/>
      <c r="H11306"/>
      <c r="I11306"/>
    </row>
    <row r="11307" spans="2:9" ht="15" x14ac:dyDescent="0.25">
      <c r="B11307"/>
      <c r="C11307"/>
      <c r="D11307"/>
      <c r="E11307"/>
      <c r="F11307"/>
      <c r="G11307" s="20"/>
      <c r="H11307"/>
      <c r="I11307"/>
    </row>
    <row r="11308" spans="2:9" ht="15" x14ac:dyDescent="0.25">
      <c r="B11308"/>
      <c r="C11308"/>
      <c r="D11308"/>
      <c r="E11308"/>
      <c r="F11308"/>
      <c r="G11308" s="20"/>
      <c r="H11308"/>
      <c r="I11308"/>
    </row>
    <row r="11309" spans="2:9" ht="15" x14ac:dyDescent="0.25">
      <c r="B11309"/>
      <c r="C11309"/>
      <c r="D11309"/>
      <c r="E11309"/>
      <c r="F11309"/>
      <c r="G11309" s="20"/>
      <c r="H11309"/>
      <c r="I11309"/>
    </row>
    <row r="11310" spans="2:9" ht="15" x14ac:dyDescent="0.25">
      <c r="B11310"/>
      <c r="C11310"/>
      <c r="D11310"/>
      <c r="E11310"/>
      <c r="F11310"/>
      <c r="G11310" s="20"/>
      <c r="H11310"/>
      <c r="I11310"/>
    </row>
    <row r="11311" spans="2:9" ht="15" x14ac:dyDescent="0.25">
      <c r="B11311"/>
      <c r="C11311"/>
      <c r="D11311"/>
      <c r="E11311"/>
      <c r="F11311"/>
      <c r="G11311" s="20"/>
      <c r="H11311"/>
      <c r="I11311"/>
    </row>
    <row r="11312" spans="2:9" ht="15" x14ac:dyDescent="0.25">
      <c r="B11312"/>
      <c r="C11312"/>
      <c r="D11312"/>
      <c r="E11312"/>
      <c r="F11312"/>
      <c r="G11312" s="20"/>
      <c r="H11312"/>
      <c r="I11312"/>
    </row>
    <row r="11313" spans="2:9" ht="15" x14ac:dyDescent="0.25">
      <c r="B11313"/>
      <c r="C11313"/>
      <c r="D11313"/>
      <c r="E11313"/>
      <c r="F11313"/>
      <c r="G11313" s="20"/>
      <c r="H11313"/>
      <c r="I11313"/>
    </row>
    <row r="11314" spans="2:9" ht="15" x14ac:dyDescent="0.25">
      <c r="B11314"/>
      <c r="C11314"/>
      <c r="D11314"/>
      <c r="E11314"/>
      <c r="F11314"/>
      <c r="G11314" s="20"/>
      <c r="H11314"/>
      <c r="I11314"/>
    </row>
    <row r="11315" spans="2:9" ht="15" x14ac:dyDescent="0.25">
      <c r="B11315"/>
      <c r="C11315"/>
      <c r="D11315"/>
      <c r="E11315"/>
      <c r="F11315"/>
      <c r="G11315" s="20"/>
      <c r="H11315"/>
      <c r="I11315"/>
    </row>
    <row r="11316" spans="2:9" ht="15" x14ac:dyDescent="0.25">
      <c r="B11316"/>
      <c r="C11316"/>
      <c r="D11316"/>
      <c r="E11316"/>
      <c r="F11316"/>
      <c r="G11316" s="20"/>
      <c r="H11316"/>
      <c r="I11316"/>
    </row>
    <row r="11317" spans="2:9" ht="15" x14ac:dyDescent="0.25">
      <c r="B11317"/>
      <c r="C11317"/>
      <c r="D11317"/>
      <c r="E11317"/>
      <c r="F11317"/>
      <c r="G11317" s="20"/>
      <c r="H11317"/>
      <c r="I11317"/>
    </row>
    <row r="11318" spans="2:9" ht="15" x14ac:dyDescent="0.25">
      <c r="B11318"/>
      <c r="C11318"/>
      <c r="D11318"/>
      <c r="E11318"/>
      <c r="F11318"/>
      <c r="G11318" s="20"/>
      <c r="H11318"/>
      <c r="I11318"/>
    </row>
    <row r="11319" spans="2:9" ht="15" x14ac:dyDescent="0.25">
      <c r="B11319"/>
      <c r="C11319"/>
      <c r="D11319"/>
      <c r="E11319"/>
      <c r="F11319"/>
      <c r="G11319" s="20"/>
      <c r="H11319"/>
      <c r="I11319"/>
    </row>
    <row r="11320" spans="2:9" ht="15" x14ac:dyDescent="0.25">
      <c r="B11320"/>
      <c r="C11320"/>
      <c r="D11320"/>
      <c r="E11320"/>
      <c r="F11320"/>
      <c r="G11320" s="20"/>
      <c r="H11320"/>
      <c r="I11320"/>
    </row>
    <row r="11321" spans="2:9" ht="15" x14ac:dyDescent="0.25">
      <c r="B11321"/>
      <c r="C11321"/>
      <c r="D11321"/>
      <c r="E11321"/>
      <c r="F11321"/>
      <c r="G11321" s="20"/>
      <c r="H11321"/>
      <c r="I11321"/>
    </row>
    <row r="11322" spans="2:9" ht="15" x14ac:dyDescent="0.25">
      <c r="B11322"/>
      <c r="C11322"/>
      <c r="D11322"/>
      <c r="E11322"/>
      <c r="F11322"/>
      <c r="G11322" s="20"/>
      <c r="H11322"/>
      <c r="I11322"/>
    </row>
    <row r="11323" spans="2:9" ht="15" x14ac:dyDescent="0.25">
      <c r="B11323"/>
      <c r="C11323"/>
      <c r="D11323"/>
      <c r="E11323"/>
      <c r="F11323"/>
      <c r="G11323" s="20"/>
      <c r="H11323"/>
      <c r="I11323"/>
    </row>
    <row r="11324" spans="2:9" ht="15" x14ac:dyDescent="0.25">
      <c r="B11324"/>
      <c r="C11324"/>
      <c r="D11324"/>
      <c r="E11324"/>
      <c r="F11324"/>
      <c r="G11324" s="20"/>
      <c r="H11324"/>
      <c r="I11324"/>
    </row>
    <row r="11325" spans="2:9" ht="15" x14ac:dyDescent="0.25">
      <c r="B11325"/>
      <c r="C11325"/>
      <c r="D11325"/>
      <c r="E11325"/>
      <c r="F11325"/>
      <c r="G11325" s="20"/>
      <c r="H11325"/>
      <c r="I11325"/>
    </row>
    <row r="11326" spans="2:9" ht="15" x14ac:dyDescent="0.25">
      <c r="B11326"/>
      <c r="C11326"/>
      <c r="D11326"/>
      <c r="E11326"/>
      <c r="F11326"/>
      <c r="G11326" s="20"/>
      <c r="H11326"/>
      <c r="I11326"/>
    </row>
    <row r="11327" spans="2:9" ht="15" x14ac:dyDescent="0.25">
      <c r="B11327"/>
      <c r="C11327"/>
      <c r="D11327"/>
      <c r="E11327"/>
      <c r="F11327"/>
      <c r="G11327" s="20"/>
      <c r="H11327"/>
      <c r="I11327"/>
    </row>
    <row r="11328" spans="2:9" ht="15" x14ac:dyDescent="0.25">
      <c r="B11328"/>
      <c r="C11328"/>
      <c r="D11328"/>
      <c r="E11328"/>
      <c r="F11328"/>
      <c r="G11328" s="20"/>
      <c r="H11328"/>
      <c r="I11328"/>
    </row>
    <row r="11329" spans="2:9" ht="15" x14ac:dyDescent="0.25">
      <c r="B11329"/>
      <c r="C11329"/>
      <c r="D11329"/>
      <c r="E11329"/>
      <c r="F11329"/>
      <c r="G11329" s="20"/>
      <c r="H11329"/>
      <c r="I11329"/>
    </row>
    <row r="11330" spans="2:9" ht="15" x14ac:dyDescent="0.25">
      <c r="B11330"/>
      <c r="C11330"/>
      <c r="D11330"/>
      <c r="E11330"/>
      <c r="F11330"/>
      <c r="G11330" s="20"/>
      <c r="H11330"/>
      <c r="I11330"/>
    </row>
    <row r="11331" spans="2:9" ht="15" x14ac:dyDescent="0.25">
      <c r="B11331"/>
      <c r="C11331"/>
      <c r="D11331"/>
      <c r="E11331"/>
      <c r="F11331"/>
      <c r="G11331" s="20"/>
      <c r="H11331"/>
      <c r="I11331"/>
    </row>
    <row r="11332" spans="2:9" ht="15" x14ac:dyDescent="0.25">
      <c r="B11332"/>
      <c r="C11332"/>
      <c r="D11332"/>
      <c r="E11332"/>
      <c r="F11332"/>
      <c r="G11332" s="20"/>
      <c r="H11332"/>
      <c r="I11332"/>
    </row>
    <row r="11333" spans="2:9" ht="15" x14ac:dyDescent="0.25">
      <c r="B11333"/>
      <c r="C11333"/>
      <c r="D11333"/>
      <c r="E11333"/>
      <c r="F11333"/>
      <c r="G11333" s="20"/>
      <c r="H11333"/>
      <c r="I11333"/>
    </row>
    <row r="11334" spans="2:9" ht="15" x14ac:dyDescent="0.25">
      <c r="B11334"/>
      <c r="C11334"/>
      <c r="D11334"/>
      <c r="E11334"/>
      <c r="F11334"/>
      <c r="G11334" s="20"/>
      <c r="H11334"/>
      <c r="I11334"/>
    </row>
    <row r="11335" spans="2:9" ht="15" x14ac:dyDescent="0.25">
      <c r="B11335"/>
      <c r="C11335"/>
      <c r="D11335"/>
      <c r="E11335"/>
      <c r="F11335"/>
      <c r="G11335" s="20"/>
      <c r="H11335"/>
      <c r="I11335"/>
    </row>
    <row r="11336" spans="2:9" ht="15" x14ac:dyDescent="0.25">
      <c r="B11336"/>
      <c r="C11336"/>
      <c r="D11336"/>
      <c r="E11336"/>
      <c r="F11336"/>
      <c r="G11336" s="20"/>
      <c r="H11336"/>
      <c r="I11336"/>
    </row>
    <row r="11337" spans="2:9" ht="15" x14ac:dyDescent="0.25">
      <c r="B11337"/>
      <c r="C11337"/>
      <c r="D11337"/>
      <c r="E11337"/>
      <c r="F11337"/>
      <c r="G11337" s="20"/>
      <c r="H11337"/>
      <c r="I11337"/>
    </row>
    <row r="11338" spans="2:9" ht="15" x14ac:dyDescent="0.25">
      <c r="B11338"/>
      <c r="C11338"/>
      <c r="D11338"/>
      <c r="E11338"/>
      <c r="F11338"/>
      <c r="G11338" s="20"/>
      <c r="H11338"/>
      <c r="I11338"/>
    </row>
    <row r="11339" spans="2:9" ht="15" x14ac:dyDescent="0.25">
      <c r="B11339"/>
      <c r="C11339"/>
      <c r="D11339"/>
      <c r="E11339"/>
      <c r="F11339"/>
      <c r="G11339" s="20"/>
      <c r="H11339"/>
      <c r="I11339"/>
    </row>
    <row r="11340" spans="2:9" ht="15" x14ac:dyDescent="0.25">
      <c r="B11340"/>
      <c r="C11340"/>
      <c r="D11340"/>
      <c r="E11340"/>
      <c r="F11340"/>
      <c r="G11340" s="20"/>
      <c r="H11340"/>
      <c r="I11340"/>
    </row>
    <row r="11341" spans="2:9" ht="15" x14ac:dyDescent="0.25">
      <c r="B11341"/>
      <c r="C11341"/>
      <c r="D11341"/>
      <c r="E11341"/>
      <c r="F11341"/>
      <c r="G11341" s="20"/>
      <c r="H11341"/>
      <c r="I11341"/>
    </row>
    <row r="11342" spans="2:9" ht="15" x14ac:dyDescent="0.25">
      <c r="B11342"/>
      <c r="C11342"/>
      <c r="D11342"/>
      <c r="E11342"/>
      <c r="F11342"/>
      <c r="G11342" s="20"/>
      <c r="H11342"/>
      <c r="I11342"/>
    </row>
    <row r="11343" spans="2:9" ht="15" x14ac:dyDescent="0.25">
      <c r="B11343"/>
      <c r="C11343"/>
      <c r="D11343"/>
      <c r="E11343"/>
      <c r="F11343"/>
      <c r="G11343" s="20"/>
      <c r="H11343"/>
      <c r="I11343"/>
    </row>
    <row r="11344" spans="2:9" ht="15" x14ac:dyDescent="0.25">
      <c r="B11344"/>
      <c r="C11344"/>
      <c r="D11344"/>
      <c r="E11344"/>
      <c r="F11344"/>
      <c r="G11344" s="20"/>
      <c r="H11344"/>
      <c r="I11344"/>
    </row>
    <row r="11345" spans="2:9" ht="15" x14ac:dyDescent="0.25">
      <c r="B11345"/>
      <c r="C11345"/>
      <c r="D11345"/>
      <c r="E11345"/>
      <c r="F11345"/>
      <c r="G11345" s="20"/>
      <c r="H11345"/>
      <c r="I11345"/>
    </row>
    <row r="11346" spans="2:9" ht="15" x14ac:dyDescent="0.25">
      <c r="B11346"/>
      <c r="C11346"/>
      <c r="D11346"/>
      <c r="E11346"/>
      <c r="F11346"/>
      <c r="G11346" s="20"/>
      <c r="H11346"/>
      <c r="I11346"/>
    </row>
    <row r="11347" spans="2:9" ht="15" x14ac:dyDescent="0.25">
      <c r="B11347"/>
      <c r="C11347"/>
      <c r="D11347"/>
      <c r="E11347"/>
      <c r="F11347"/>
      <c r="G11347" s="20"/>
      <c r="H11347"/>
      <c r="I11347"/>
    </row>
    <row r="11348" spans="2:9" ht="15" x14ac:dyDescent="0.25">
      <c r="B11348"/>
      <c r="C11348"/>
      <c r="D11348"/>
      <c r="E11348"/>
      <c r="F11348"/>
      <c r="G11348" s="20"/>
      <c r="H11348"/>
      <c r="I11348"/>
    </row>
    <row r="11349" spans="2:9" ht="15" x14ac:dyDescent="0.25">
      <c r="B11349"/>
      <c r="C11349"/>
      <c r="D11349"/>
      <c r="E11349"/>
      <c r="F11349"/>
      <c r="G11349" s="20"/>
      <c r="H11349"/>
      <c r="I11349"/>
    </row>
    <row r="11350" spans="2:9" ht="15" x14ac:dyDescent="0.25">
      <c r="B11350"/>
      <c r="C11350"/>
      <c r="D11350"/>
      <c r="E11350"/>
      <c r="F11350"/>
      <c r="G11350" s="20"/>
      <c r="H11350"/>
      <c r="I11350"/>
    </row>
    <row r="11351" spans="2:9" ht="15" x14ac:dyDescent="0.25">
      <c r="B11351"/>
      <c r="C11351"/>
      <c r="D11351"/>
      <c r="E11351"/>
      <c r="F11351"/>
      <c r="G11351" s="20"/>
      <c r="H11351"/>
      <c r="I11351"/>
    </row>
    <row r="11352" spans="2:9" ht="15" x14ac:dyDescent="0.25">
      <c r="B11352"/>
      <c r="C11352"/>
      <c r="D11352"/>
      <c r="E11352"/>
      <c r="F11352"/>
      <c r="G11352" s="20"/>
      <c r="H11352"/>
      <c r="I11352"/>
    </row>
    <row r="11353" spans="2:9" ht="15" x14ac:dyDescent="0.25">
      <c r="B11353"/>
      <c r="C11353"/>
      <c r="D11353"/>
      <c r="E11353"/>
      <c r="F11353"/>
      <c r="G11353" s="20"/>
      <c r="H11353"/>
      <c r="I11353"/>
    </row>
    <row r="11354" spans="2:9" ht="15" x14ac:dyDescent="0.25">
      <c r="B11354"/>
      <c r="C11354"/>
      <c r="D11354"/>
      <c r="E11354"/>
      <c r="F11354"/>
      <c r="G11354" s="20"/>
      <c r="H11354"/>
      <c r="I11354"/>
    </row>
    <row r="11355" spans="2:9" ht="15" x14ac:dyDescent="0.25">
      <c r="B11355"/>
      <c r="C11355"/>
      <c r="D11355"/>
      <c r="E11355"/>
      <c r="F11355"/>
      <c r="G11355" s="20"/>
      <c r="H11355"/>
      <c r="I11355"/>
    </row>
    <row r="11356" spans="2:9" ht="15" x14ac:dyDescent="0.25">
      <c r="B11356"/>
      <c r="C11356"/>
      <c r="D11356"/>
      <c r="E11356"/>
      <c r="F11356"/>
      <c r="G11356" s="20"/>
      <c r="H11356"/>
      <c r="I11356"/>
    </row>
    <row r="11357" spans="2:9" ht="15" x14ac:dyDescent="0.25">
      <c r="B11357"/>
      <c r="C11357"/>
      <c r="D11357"/>
      <c r="E11357"/>
      <c r="F11357"/>
      <c r="G11357" s="20"/>
      <c r="H11357"/>
      <c r="I11357"/>
    </row>
    <row r="11358" spans="2:9" ht="15" x14ac:dyDescent="0.25">
      <c r="B11358"/>
      <c r="C11358"/>
      <c r="D11358"/>
      <c r="E11358"/>
      <c r="F11358"/>
      <c r="G11358" s="20"/>
      <c r="H11358"/>
      <c r="I11358"/>
    </row>
    <row r="11359" spans="2:9" ht="15" x14ac:dyDescent="0.25">
      <c r="B11359"/>
      <c r="C11359"/>
      <c r="D11359"/>
      <c r="E11359"/>
      <c r="F11359"/>
      <c r="G11359" s="20"/>
      <c r="H11359"/>
      <c r="I11359"/>
    </row>
    <row r="11360" spans="2:9" ht="15" x14ac:dyDescent="0.25">
      <c r="B11360"/>
      <c r="C11360"/>
      <c r="D11360"/>
      <c r="E11360"/>
      <c r="F11360"/>
      <c r="G11360" s="20"/>
      <c r="H11360"/>
      <c r="I11360"/>
    </row>
    <row r="11361" spans="2:9" ht="15" x14ac:dyDescent="0.25">
      <c r="B11361"/>
      <c r="C11361"/>
      <c r="D11361"/>
      <c r="E11361"/>
      <c r="F11361"/>
      <c r="G11361" s="20"/>
      <c r="H11361"/>
      <c r="I11361"/>
    </row>
    <row r="11362" spans="2:9" ht="15" x14ac:dyDescent="0.25">
      <c r="B11362"/>
      <c r="C11362"/>
      <c r="D11362"/>
      <c r="E11362"/>
      <c r="F11362"/>
      <c r="G11362" s="20"/>
      <c r="H11362"/>
      <c r="I11362"/>
    </row>
    <row r="11363" spans="2:9" ht="15" x14ac:dyDescent="0.25">
      <c r="B11363"/>
      <c r="C11363"/>
      <c r="D11363"/>
      <c r="E11363"/>
      <c r="F11363"/>
      <c r="G11363" s="20"/>
      <c r="H11363"/>
      <c r="I11363"/>
    </row>
    <row r="11364" spans="2:9" ht="15" x14ac:dyDescent="0.25">
      <c r="B11364"/>
      <c r="C11364"/>
      <c r="D11364"/>
      <c r="E11364"/>
      <c r="F11364"/>
      <c r="G11364" s="20"/>
      <c r="H11364"/>
      <c r="I11364"/>
    </row>
    <row r="11365" spans="2:9" ht="15" x14ac:dyDescent="0.25">
      <c r="B11365"/>
      <c r="C11365"/>
      <c r="D11365"/>
      <c r="E11365"/>
      <c r="F11365"/>
      <c r="G11365" s="20"/>
      <c r="H11365"/>
      <c r="I11365"/>
    </row>
    <row r="11366" spans="2:9" ht="15" x14ac:dyDescent="0.25">
      <c r="B11366"/>
      <c r="C11366"/>
      <c r="D11366"/>
      <c r="E11366"/>
      <c r="F11366"/>
      <c r="G11366" s="20"/>
      <c r="H11366"/>
      <c r="I11366"/>
    </row>
    <row r="11367" spans="2:9" ht="15" x14ac:dyDescent="0.25">
      <c r="B11367"/>
      <c r="C11367"/>
      <c r="D11367"/>
      <c r="E11367"/>
      <c r="F11367"/>
      <c r="G11367" s="20"/>
      <c r="H11367"/>
      <c r="I11367"/>
    </row>
    <row r="11368" spans="2:9" ht="15" x14ac:dyDescent="0.25">
      <c r="B11368"/>
      <c r="C11368"/>
      <c r="D11368"/>
      <c r="E11368"/>
      <c r="F11368"/>
      <c r="G11368" s="20"/>
      <c r="H11368"/>
      <c r="I11368"/>
    </row>
    <row r="11369" spans="2:9" ht="15" x14ac:dyDescent="0.25">
      <c r="B11369"/>
      <c r="C11369"/>
      <c r="D11369"/>
      <c r="E11369"/>
      <c r="F11369"/>
      <c r="G11369" s="20"/>
      <c r="H11369"/>
      <c r="I11369"/>
    </row>
    <row r="11370" spans="2:9" ht="15" x14ac:dyDescent="0.25">
      <c r="B11370"/>
      <c r="C11370"/>
      <c r="D11370"/>
      <c r="E11370"/>
      <c r="F11370"/>
      <c r="G11370" s="20"/>
      <c r="H11370"/>
      <c r="I11370"/>
    </row>
    <row r="11371" spans="2:9" ht="15" x14ac:dyDescent="0.25">
      <c r="B11371"/>
      <c r="C11371"/>
      <c r="D11371"/>
      <c r="E11371"/>
      <c r="F11371"/>
      <c r="G11371" s="20"/>
      <c r="H11371"/>
      <c r="I11371"/>
    </row>
    <row r="11372" spans="2:9" ht="15" x14ac:dyDescent="0.25">
      <c r="B11372"/>
      <c r="C11372"/>
      <c r="D11372"/>
      <c r="E11372"/>
      <c r="F11372"/>
      <c r="G11372" s="20"/>
      <c r="H11372"/>
      <c r="I11372"/>
    </row>
    <row r="11373" spans="2:9" ht="15" x14ac:dyDescent="0.25">
      <c r="B11373"/>
      <c r="C11373"/>
      <c r="D11373"/>
      <c r="E11373"/>
      <c r="F11373"/>
      <c r="G11373" s="20"/>
      <c r="H11373"/>
      <c r="I11373"/>
    </row>
    <row r="11374" spans="2:9" ht="15" x14ac:dyDescent="0.25">
      <c r="B11374"/>
      <c r="C11374"/>
      <c r="D11374"/>
      <c r="E11374"/>
      <c r="F11374"/>
      <c r="G11374" s="20"/>
      <c r="H11374"/>
      <c r="I11374"/>
    </row>
    <row r="11375" spans="2:9" ht="15" x14ac:dyDescent="0.25">
      <c r="B11375"/>
      <c r="C11375"/>
      <c r="D11375"/>
      <c r="E11375"/>
      <c r="F11375"/>
      <c r="G11375" s="20"/>
      <c r="H11375"/>
      <c r="I11375"/>
    </row>
    <row r="11376" spans="2:9" ht="15" x14ac:dyDescent="0.25">
      <c r="B11376"/>
      <c r="C11376"/>
      <c r="D11376"/>
      <c r="E11376"/>
      <c r="F11376"/>
      <c r="G11376" s="20"/>
      <c r="H11376"/>
      <c r="I11376"/>
    </row>
    <row r="11377" spans="2:9" ht="15" x14ac:dyDescent="0.25">
      <c r="B11377"/>
      <c r="C11377"/>
      <c r="D11377"/>
      <c r="E11377"/>
      <c r="F11377"/>
      <c r="G11377" s="20"/>
      <c r="H11377"/>
      <c r="I11377"/>
    </row>
    <row r="11378" spans="2:9" ht="15" x14ac:dyDescent="0.25">
      <c r="B11378"/>
      <c r="C11378"/>
      <c r="D11378"/>
      <c r="E11378"/>
      <c r="F11378"/>
      <c r="G11378" s="20"/>
      <c r="H11378"/>
      <c r="I11378"/>
    </row>
    <row r="11379" spans="2:9" ht="15" x14ac:dyDescent="0.25">
      <c r="B11379"/>
      <c r="C11379"/>
      <c r="D11379"/>
      <c r="E11379"/>
      <c r="F11379"/>
      <c r="G11379" s="20"/>
      <c r="H11379"/>
      <c r="I11379"/>
    </row>
    <row r="11380" spans="2:9" ht="15" x14ac:dyDescent="0.25">
      <c r="B11380"/>
      <c r="C11380"/>
      <c r="D11380"/>
      <c r="E11380"/>
      <c r="F11380"/>
      <c r="G11380" s="20"/>
      <c r="H11380"/>
      <c r="I11380"/>
    </row>
    <row r="11381" spans="2:9" ht="15" x14ac:dyDescent="0.25">
      <c r="B11381"/>
      <c r="C11381"/>
      <c r="D11381"/>
      <c r="E11381"/>
      <c r="F11381"/>
      <c r="G11381" s="20"/>
      <c r="H11381"/>
      <c r="I11381"/>
    </row>
    <row r="11382" spans="2:9" ht="15" x14ac:dyDescent="0.25">
      <c r="B11382"/>
      <c r="C11382"/>
      <c r="D11382"/>
      <c r="E11382"/>
      <c r="F11382"/>
      <c r="G11382" s="20"/>
      <c r="H11382"/>
      <c r="I11382"/>
    </row>
    <row r="11383" spans="2:9" ht="15" x14ac:dyDescent="0.25">
      <c r="B11383"/>
      <c r="C11383"/>
      <c r="D11383"/>
      <c r="E11383"/>
      <c r="F11383"/>
      <c r="G11383" s="20"/>
      <c r="H11383"/>
      <c r="I11383"/>
    </row>
    <row r="11384" spans="2:9" ht="15" x14ac:dyDescent="0.25">
      <c r="B11384"/>
      <c r="C11384"/>
      <c r="D11384"/>
      <c r="E11384"/>
      <c r="F11384"/>
      <c r="G11384" s="20"/>
      <c r="H11384"/>
      <c r="I11384"/>
    </row>
    <row r="11385" spans="2:9" ht="15" x14ac:dyDescent="0.25">
      <c r="B11385"/>
      <c r="C11385"/>
      <c r="D11385"/>
      <c r="E11385"/>
      <c r="F11385"/>
      <c r="G11385" s="20"/>
      <c r="H11385"/>
      <c r="I11385"/>
    </row>
    <row r="11386" spans="2:9" ht="15" x14ac:dyDescent="0.25">
      <c r="B11386"/>
      <c r="C11386"/>
      <c r="D11386"/>
      <c r="E11386"/>
      <c r="F11386"/>
      <c r="G11386" s="20"/>
      <c r="H11386"/>
      <c r="I11386"/>
    </row>
    <row r="11387" spans="2:9" ht="15" x14ac:dyDescent="0.25">
      <c r="B11387"/>
      <c r="C11387"/>
      <c r="D11387"/>
      <c r="E11387"/>
      <c r="F11387"/>
      <c r="G11387" s="20"/>
      <c r="H11387"/>
      <c r="I11387"/>
    </row>
    <row r="11388" spans="2:9" ht="15" x14ac:dyDescent="0.25">
      <c r="B11388"/>
      <c r="C11388"/>
      <c r="D11388"/>
      <c r="E11388"/>
      <c r="F11388"/>
      <c r="G11388" s="20"/>
      <c r="H11388"/>
      <c r="I11388"/>
    </row>
    <row r="11389" spans="2:9" ht="15" x14ac:dyDescent="0.25">
      <c r="B11389"/>
      <c r="C11389"/>
      <c r="D11389"/>
      <c r="E11389"/>
      <c r="F11389"/>
      <c r="G11389" s="20"/>
      <c r="H11389"/>
      <c r="I11389"/>
    </row>
    <row r="11390" spans="2:9" ht="15" x14ac:dyDescent="0.25">
      <c r="B11390"/>
      <c r="C11390"/>
      <c r="D11390"/>
      <c r="E11390"/>
      <c r="F11390"/>
      <c r="G11390" s="20"/>
      <c r="H11390"/>
      <c r="I11390"/>
    </row>
    <row r="11391" spans="2:9" ht="15" x14ac:dyDescent="0.25">
      <c r="B11391"/>
      <c r="C11391"/>
      <c r="D11391"/>
      <c r="E11391"/>
      <c r="F11391"/>
      <c r="G11391" s="20"/>
      <c r="H11391"/>
      <c r="I11391"/>
    </row>
    <row r="11392" spans="2:9" ht="15" x14ac:dyDescent="0.25">
      <c r="B11392"/>
      <c r="C11392"/>
      <c r="D11392"/>
      <c r="E11392"/>
      <c r="F11392"/>
      <c r="G11392" s="20"/>
      <c r="H11392"/>
      <c r="I11392"/>
    </row>
    <row r="11393" spans="2:9" ht="15" x14ac:dyDescent="0.25">
      <c r="B11393"/>
      <c r="C11393"/>
      <c r="D11393"/>
      <c r="E11393"/>
      <c r="F11393"/>
      <c r="G11393" s="20"/>
      <c r="H11393"/>
      <c r="I11393"/>
    </row>
    <row r="11394" spans="2:9" ht="15" x14ac:dyDescent="0.25">
      <c r="B11394"/>
      <c r="C11394"/>
      <c r="D11394"/>
      <c r="E11394"/>
      <c r="F11394"/>
      <c r="G11394" s="20"/>
      <c r="H11394"/>
      <c r="I11394"/>
    </row>
    <row r="11395" spans="2:9" ht="15" x14ac:dyDescent="0.25">
      <c r="B11395"/>
      <c r="C11395"/>
      <c r="D11395"/>
      <c r="E11395"/>
      <c r="F11395"/>
      <c r="G11395" s="20"/>
      <c r="H11395"/>
      <c r="I11395"/>
    </row>
    <row r="11396" spans="2:9" ht="15" x14ac:dyDescent="0.25">
      <c r="B11396"/>
      <c r="C11396"/>
      <c r="D11396"/>
      <c r="E11396"/>
      <c r="F11396"/>
      <c r="G11396" s="20"/>
      <c r="H11396"/>
      <c r="I11396"/>
    </row>
    <row r="11397" spans="2:9" ht="15" x14ac:dyDescent="0.25">
      <c r="B11397"/>
      <c r="C11397"/>
      <c r="D11397"/>
      <c r="E11397"/>
      <c r="F11397"/>
      <c r="G11397" s="20"/>
      <c r="H11397"/>
      <c r="I11397"/>
    </row>
    <row r="11398" spans="2:9" ht="15" x14ac:dyDescent="0.25">
      <c r="B11398"/>
      <c r="C11398"/>
      <c r="D11398"/>
      <c r="E11398"/>
      <c r="F11398"/>
      <c r="G11398" s="20"/>
      <c r="H11398"/>
      <c r="I11398"/>
    </row>
    <row r="11399" spans="2:9" ht="15" x14ac:dyDescent="0.25">
      <c r="B11399"/>
      <c r="C11399"/>
      <c r="D11399"/>
      <c r="E11399"/>
      <c r="F11399"/>
      <c r="G11399" s="20"/>
      <c r="H11399"/>
      <c r="I11399"/>
    </row>
    <row r="11400" spans="2:9" ht="15" x14ac:dyDescent="0.25">
      <c r="B11400"/>
      <c r="C11400"/>
      <c r="D11400"/>
      <c r="E11400"/>
      <c r="F11400"/>
      <c r="G11400" s="20"/>
      <c r="H11400"/>
      <c r="I11400"/>
    </row>
    <row r="11401" spans="2:9" ht="15" x14ac:dyDescent="0.25">
      <c r="B11401"/>
      <c r="C11401"/>
      <c r="D11401"/>
      <c r="E11401"/>
      <c r="F11401"/>
      <c r="G11401" s="20"/>
      <c r="H11401"/>
      <c r="I11401"/>
    </row>
    <row r="11402" spans="2:9" ht="15" x14ac:dyDescent="0.25">
      <c r="B11402"/>
      <c r="C11402"/>
      <c r="D11402"/>
      <c r="E11402"/>
      <c r="F11402"/>
      <c r="G11402" s="20"/>
      <c r="H11402"/>
      <c r="I11402"/>
    </row>
    <row r="11403" spans="2:9" ht="15" x14ac:dyDescent="0.25">
      <c r="B11403"/>
      <c r="C11403"/>
      <c r="D11403"/>
      <c r="E11403"/>
      <c r="F11403"/>
      <c r="G11403" s="20"/>
      <c r="H11403"/>
      <c r="I11403"/>
    </row>
    <row r="11404" spans="2:9" ht="15" x14ac:dyDescent="0.25">
      <c r="B11404"/>
      <c r="C11404"/>
      <c r="D11404"/>
      <c r="E11404"/>
      <c r="F11404"/>
      <c r="G11404" s="20"/>
      <c r="H11404"/>
      <c r="I11404"/>
    </row>
    <row r="11405" spans="2:9" ht="15" x14ac:dyDescent="0.25">
      <c r="B11405"/>
      <c r="C11405"/>
      <c r="D11405"/>
      <c r="E11405"/>
      <c r="F11405"/>
      <c r="G11405" s="20"/>
      <c r="H11405"/>
      <c r="I11405"/>
    </row>
    <row r="11406" spans="2:9" ht="15" x14ac:dyDescent="0.25">
      <c r="B11406"/>
      <c r="C11406"/>
      <c r="D11406"/>
      <c r="E11406"/>
      <c r="F11406"/>
      <c r="G11406" s="20"/>
      <c r="H11406"/>
      <c r="I11406"/>
    </row>
    <row r="11407" spans="2:9" ht="15" x14ac:dyDescent="0.25">
      <c r="B11407"/>
      <c r="C11407"/>
      <c r="D11407"/>
      <c r="E11407"/>
      <c r="F11407"/>
      <c r="G11407" s="20"/>
      <c r="H11407"/>
      <c r="I11407"/>
    </row>
    <row r="11408" spans="2:9" ht="15" x14ac:dyDescent="0.25">
      <c r="B11408"/>
      <c r="C11408"/>
      <c r="D11408"/>
      <c r="E11408"/>
      <c r="F11408"/>
      <c r="G11408" s="20"/>
      <c r="H11408"/>
      <c r="I11408"/>
    </row>
    <row r="11409" spans="2:9" ht="15" x14ac:dyDescent="0.25">
      <c r="B11409"/>
      <c r="C11409"/>
      <c r="D11409"/>
      <c r="E11409"/>
      <c r="F11409"/>
      <c r="G11409" s="20"/>
      <c r="H11409"/>
      <c r="I11409"/>
    </row>
    <row r="11410" spans="2:9" ht="15" x14ac:dyDescent="0.25">
      <c r="B11410"/>
      <c r="C11410"/>
      <c r="D11410"/>
      <c r="E11410"/>
      <c r="F11410"/>
      <c r="G11410" s="20"/>
      <c r="H11410"/>
      <c r="I11410"/>
    </row>
    <row r="11411" spans="2:9" ht="15" x14ac:dyDescent="0.25">
      <c r="B11411"/>
      <c r="C11411"/>
      <c r="D11411"/>
      <c r="E11411"/>
      <c r="F11411"/>
      <c r="G11411" s="20"/>
      <c r="H11411"/>
      <c r="I11411"/>
    </row>
    <row r="11412" spans="2:9" ht="15" x14ac:dyDescent="0.25">
      <c r="B11412"/>
      <c r="C11412"/>
      <c r="D11412"/>
      <c r="E11412"/>
      <c r="F11412"/>
      <c r="G11412" s="20"/>
      <c r="H11412"/>
      <c r="I11412"/>
    </row>
    <row r="11413" spans="2:9" ht="15" x14ac:dyDescent="0.25">
      <c r="B11413"/>
      <c r="C11413"/>
      <c r="D11413"/>
      <c r="E11413"/>
      <c r="F11413"/>
      <c r="G11413" s="20"/>
      <c r="H11413"/>
      <c r="I11413"/>
    </row>
    <row r="11414" spans="2:9" ht="15" x14ac:dyDescent="0.25">
      <c r="B11414"/>
      <c r="C11414"/>
      <c r="D11414"/>
      <c r="E11414"/>
      <c r="F11414"/>
      <c r="G11414" s="20"/>
      <c r="H11414"/>
      <c r="I11414"/>
    </row>
    <row r="11415" spans="2:9" ht="15" x14ac:dyDescent="0.25">
      <c r="B11415"/>
      <c r="C11415"/>
      <c r="D11415"/>
      <c r="E11415"/>
      <c r="F11415"/>
      <c r="G11415" s="20"/>
      <c r="H11415"/>
      <c r="I11415"/>
    </row>
    <row r="11416" spans="2:9" ht="15" x14ac:dyDescent="0.25">
      <c r="B11416"/>
      <c r="C11416"/>
      <c r="D11416"/>
      <c r="E11416"/>
      <c r="F11416"/>
      <c r="G11416" s="20"/>
      <c r="H11416"/>
      <c r="I11416"/>
    </row>
    <row r="11417" spans="2:9" ht="15" x14ac:dyDescent="0.25">
      <c r="B11417"/>
      <c r="C11417"/>
      <c r="D11417"/>
      <c r="E11417"/>
      <c r="F11417"/>
      <c r="G11417" s="20"/>
      <c r="H11417"/>
      <c r="I11417"/>
    </row>
    <row r="11418" spans="2:9" ht="15" x14ac:dyDescent="0.25">
      <c r="B11418"/>
      <c r="C11418"/>
      <c r="D11418"/>
      <c r="E11418"/>
      <c r="F11418"/>
      <c r="G11418" s="20"/>
      <c r="H11418"/>
      <c r="I11418"/>
    </row>
    <row r="11419" spans="2:9" ht="15" x14ac:dyDescent="0.25">
      <c r="B11419"/>
      <c r="C11419"/>
      <c r="D11419"/>
      <c r="E11419"/>
      <c r="F11419"/>
      <c r="G11419" s="20"/>
      <c r="H11419"/>
      <c r="I11419"/>
    </row>
    <row r="11420" spans="2:9" ht="15" x14ac:dyDescent="0.25">
      <c r="B11420"/>
      <c r="C11420"/>
      <c r="D11420"/>
      <c r="E11420"/>
      <c r="F11420"/>
      <c r="G11420" s="20"/>
      <c r="H11420"/>
      <c r="I11420"/>
    </row>
    <row r="11421" spans="2:9" ht="15" x14ac:dyDescent="0.25">
      <c r="B11421"/>
      <c r="C11421"/>
      <c r="D11421"/>
      <c r="E11421"/>
      <c r="F11421"/>
      <c r="G11421" s="20"/>
      <c r="H11421"/>
      <c r="I11421"/>
    </row>
    <row r="11422" spans="2:9" ht="15" x14ac:dyDescent="0.25">
      <c r="B11422"/>
      <c r="C11422"/>
      <c r="D11422"/>
      <c r="E11422"/>
      <c r="F11422"/>
      <c r="G11422" s="20"/>
      <c r="H11422"/>
      <c r="I11422"/>
    </row>
    <row r="11423" spans="2:9" ht="15" x14ac:dyDescent="0.25">
      <c r="B11423"/>
      <c r="C11423"/>
      <c r="D11423"/>
      <c r="E11423"/>
      <c r="F11423"/>
      <c r="G11423" s="20"/>
      <c r="H11423"/>
      <c r="I11423"/>
    </row>
    <row r="11424" spans="2:9" ht="15" x14ac:dyDescent="0.25">
      <c r="B11424"/>
      <c r="C11424"/>
      <c r="D11424"/>
      <c r="E11424"/>
      <c r="F11424"/>
      <c r="G11424" s="20"/>
      <c r="H11424"/>
      <c r="I11424"/>
    </row>
    <row r="11425" spans="2:9" ht="15" x14ac:dyDescent="0.25">
      <c r="B11425"/>
      <c r="C11425"/>
      <c r="D11425"/>
      <c r="E11425"/>
      <c r="F11425"/>
      <c r="G11425" s="20"/>
      <c r="H11425"/>
      <c r="I11425"/>
    </row>
    <row r="11426" spans="2:9" ht="15" x14ac:dyDescent="0.25">
      <c r="B11426"/>
      <c r="C11426"/>
      <c r="D11426"/>
      <c r="E11426"/>
      <c r="F11426"/>
      <c r="G11426" s="20"/>
      <c r="H11426"/>
      <c r="I11426"/>
    </row>
    <row r="11427" spans="2:9" ht="15" x14ac:dyDescent="0.25">
      <c r="B11427"/>
      <c r="C11427"/>
      <c r="D11427"/>
      <c r="E11427"/>
      <c r="F11427"/>
      <c r="G11427" s="20"/>
      <c r="H11427"/>
      <c r="I11427"/>
    </row>
    <row r="11428" spans="2:9" ht="15" x14ac:dyDescent="0.25">
      <c r="B11428"/>
      <c r="C11428"/>
      <c r="D11428"/>
      <c r="E11428"/>
      <c r="F11428"/>
      <c r="G11428" s="20"/>
      <c r="H11428"/>
      <c r="I11428"/>
    </row>
    <row r="11429" spans="2:9" ht="15" x14ac:dyDescent="0.25">
      <c r="B11429"/>
      <c r="C11429"/>
      <c r="D11429"/>
      <c r="E11429"/>
      <c r="F11429"/>
      <c r="G11429" s="20"/>
      <c r="H11429"/>
      <c r="I11429"/>
    </row>
    <row r="11430" spans="2:9" ht="15" x14ac:dyDescent="0.25">
      <c r="B11430"/>
      <c r="C11430"/>
      <c r="D11430"/>
      <c r="E11430"/>
      <c r="F11430"/>
      <c r="G11430" s="20"/>
      <c r="H11430"/>
      <c r="I11430"/>
    </row>
    <row r="11431" spans="2:9" ht="15" x14ac:dyDescent="0.25">
      <c r="B11431"/>
      <c r="C11431"/>
      <c r="D11431"/>
      <c r="E11431"/>
      <c r="F11431"/>
      <c r="G11431" s="20"/>
      <c r="H11431"/>
      <c r="I11431"/>
    </row>
    <row r="11432" spans="2:9" ht="15" x14ac:dyDescent="0.25">
      <c r="B11432"/>
      <c r="C11432"/>
      <c r="D11432"/>
      <c r="E11432"/>
      <c r="F11432"/>
      <c r="G11432" s="20"/>
      <c r="H11432"/>
      <c r="I11432"/>
    </row>
    <row r="11433" spans="2:9" ht="15" x14ac:dyDescent="0.25">
      <c r="B11433"/>
      <c r="C11433"/>
      <c r="D11433"/>
      <c r="E11433"/>
      <c r="F11433"/>
      <c r="G11433" s="20"/>
      <c r="H11433"/>
      <c r="I11433"/>
    </row>
    <row r="11434" spans="2:9" ht="15" x14ac:dyDescent="0.25">
      <c r="B11434"/>
      <c r="C11434"/>
      <c r="D11434"/>
      <c r="E11434"/>
      <c r="F11434"/>
      <c r="G11434" s="20"/>
      <c r="H11434"/>
      <c r="I11434"/>
    </row>
    <row r="11435" spans="2:9" ht="15" x14ac:dyDescent="0.25">
      <c r="B11435"/>
      <c r="C11435"/>
      <c r="D11435"/>
      <c r="E11435"/>
      <c r="F11435"/>
      <c r="G11435" s="20"/>
      <c r="H11435"/>
      <c r="I11435"/>
    </row>
    <row r="11436" spans="2:9" ht="15" x14ac:dyDescent="0.25">
      <c r="B11436"/>
      <c r="C11436"/>
      <c r="D11436"/>
      <c r="E11436"/>
      <c r="F11436"/>
      <c r="G11436" s="20"/>
      <c r="H11436"/>
      <c r="I11436"/>
    </row>
    <row r="11437" spans="2:9" ht="15" x14ac:dyDescent="0.25">
      <c r="B11437"/>
      <c r="C11437"/>
      <c r="D11437"/>
      <c r="E11437"/>
      <c r="F11437"/>
      <c r="G11437" s="20"/>
      <c r="H11437"/>
      <c r="I11437"/>
    </row>
    <row r="11438" spans="2:9" ht="15" x14ac:dyDescent="0.25">
      <c r="B11438"/>
      <c r="C11438"/>
      <c r="D11438"/>
      <c r="E11438"/>
      <c r="F11438"/>
      <c r="G11438" s="20"/>
      <c r="H11438"/>
      <c r="I11438"/>
    </row>
    <row r="11439" spans="2:9" ht="15" x14ac:dyDescent="0.25">
      <c r="B11439"/>
      <c r="C11439"/>
      <c r="D11439"/>
      <c r="E11439"/>
      <c r="F11439"/>
      <c r="G11439" s="20"/>
      <c r="H11439"/>
      <c r="I11439"/>
    </row>
    <row r="11440" spans="2:9" ht="15" x14ac:dyDescent="0.25">
      <c r="B11440"/>
      <c r="C11440"/>
      <c r="D11440"/>
      <c r="E11440"/>
      <c r="F11440"/>
      <c r="G11440" s="20"/>
      <c r="H11440"/>
      <c r="I11440"/>
    </row>
    <row r="11441" spans="2:9" ht="15" x14ac:dyDescent="0.25">
      <c r="B11441"/>
      <c r="C11441"/>
      <c r="D11441"/>
      <c r="E11441"/>
      <c r="F11441"/>
      <c r="G11441" s="20"/>
      <c r="H11441"/>
      <c r="I11441"/>
    </row>
    <row r="11442" spans="2:9" ht="15" x14ac:dyDescent="0.25">
      <c r="B11442"/>
      <c r="C11442"/>
      <c r="D11442"/>
      <c r="E11442"/>
      <c r="F11442"/>
      <c r="G11442" s="20"/>
      <c r="H11442"/>
      <c r="I11442"/>
    </row>
    <row r="11443" spans="2:9" ht="15" x14ac:dyDescent="0.25">
      <c r="B11443"/>
      <c r="C11443"/>
      <c r="D11443"/>
      <c r="E11443"/>
      <c r="F11443"/>
      <c r="G11443" s="20"/>
      <c r="H11443"/>
      <c r="I11443"/>
    </row>
    <row r="11444" spans="2:9" ht="15" x14ac:dyDescent="0.25">
      <c r="B11444"/>
      <c r="C11444"/>
      <c r="D11444"/>
      <c r="E11444"/>
      <c r="F11444"/>
      <c r="G11444" s="20"/>
      <c r="H11444"/>
      <c r="I11444"/>
    </row>
    <row r="11445" spans="2:9" ht="15" x14ac:dyDescent="0.25">
      <c r="B11445"/>
      <c r="C11445"/>
      <c r="D11445"/>
      <c r="E11445"/>
      <c r="F11445"/>
      <c r="G11445" s="20"/>
      <c r="H11445"/>
      <c r="I11445"/>
    </row>
    <row r="11446" spans="2:9" ht="15" x14ac:dyDescent="0.25">
      <c r="B11446"/>
      <c r="C11446"/>
      <c r="D11446"/>
      <c r="E11446"/>
      <c r="F11446"/>
      <c r="G11446" s="20"/>
      <c r="H11446"/>
      <c r="I11446"/>
    </row>
    <row r="11447" spans="2:9" ht="15" x14ac:dyDescent="0.25">
      <c r="B11447"/>
      <c r="C11447"/>
      <c r="D11447"/>
      <c r="E11447"/>
      <c r="F11447"/>
      <c r="G11447" s="20"/>
      <c r="H11447"/>
      <c r="I11447"/>
    </row>
    <row r="11448" spans="2:9" ht="15" x14ac:dyDescent="0.25">
      <c r="B11448"/>
      <c r="C11448"/>
      <c r="D11448"/>
      <c r="E11448"/>
      <c r="F11448"/>
      <c r="G11448" s="20"/>
      <c r="H11448"/>
      <c r="I11448"/>
    </row>
    <row r="11449" spans="2:9" ht="15" x14ac:dyDescent="0.25">
      <c r="B11449"/>
      <c r="C11449"/>
      <c r="D11449"/>
      <c r="E11449"/>
      <c r="F11449"/>
      <c r="G11449" s="20"/>
      <c r="H11449"/>
      <c r="I11449"/>
    </row>
    <row r="11450" spans="2:9" ht="15" x14ac:dyDescent="0.25">
      <c r="B11450"/>
      <c r="C11450"/>
      <c r="D11450"/>
      <c r="E11450"/>
      <c r="F11450"/>
      <c r="G11450" s="20"/>
      <c r="H11450"/>
      <c r="I11450"/>
    </row>
    <row r="11451" spans="2:9" ht="15" x14ac:dyDescent="0.25">
      <c r="B11451"/>
      <c r="C11451"/>
      <c r="D11451"/>
      <c r="E11451"/>
      <c r="F11451"/>
      <c r="G11451" s="20"/>
      <c r="H11451"/>
      <c r="I11451"/>
    </row>
    <row r="11452" spans="2:9" ht="15" x14ac:dyDescent="0.25">
      <c r="B11452"/>
      <c r="C11452"/>
      <c r="D11452"/>
      <c r="E11452"/>
      <c r="F11452"/>
      <c r="G11452" s="20"/>
      <c r="H11452"/>
      <c r="I11452"/>
    </row>
    <row r="11453" spans="2:9" ht="15" x14ac:dyDescent="0.25">
      <c r="B11453"/>
      <c r="C11453"/>
      <c r="D11453"/>
      <c r="E11453"/>
      <c r="F11453"/>
      <c r="G11453" s="20"/>
      <c r="H11453"/>
      <c r="I11453"/>
    </row>
    <row r="11454" spans="2:9" ht="15" x14ac:dyDescent="0.25">
      <c r="B11454"/>
      <c r="C11454"/>
      <c r="D11454"/>
      <c r="E11454"/>
      <c r="F11454"/>
      <c r="G11454" s="20"/>
      <c r="H11454"/>
      <c r="I11454"/>
    </row>
    <row r="11455" spans="2:9" ht="15" x14ac:dyDescent="0.25">
      <c r="B11455"/>
      <c r="C11455"/>
      <c r="D11455"/>
      <c r="E11455"/>
      <c r="F11455"/>
      <c r="G11455" s="20"/>
      <c r="H11455"/>
      <c r="I11455"/>
    </row>
    <row r="11456" spans="2:9" ht="15" x14ac:dyDescent="0.25">
      <c r="B11456"/>
      <c r="C11456"/>
      <c r="D11456"/>
      <c r="E11456"/>
      <c r="F11456"/>
      <c r="G11456" s="20"/>
      <c r="H11456"/>
      <c r="I11456"/>
    </row>
    <row r="11457" spans="2:9" ht="15" x14ac:dyDescent="0.25">
      <c r="B11457"/>
      <c r="C11457"/>
      <c r="D11457"/>
      <c r="E11457"/>
      <c r="F11457"/>
      <c r="G11457" s="20"/>
      <c r="H11457"/>
      <c r="I11457"/>
    </row>
    <row r="11458" spans="2:9" ht="15" x14ac:dyDescent="0.25">
      <c r="B11458"/>
      <c r="C11458"/>
      <c r="D11458"/>
      <c r="E11458"/>
      <c r="F11458"/>
      <c r="G11458" s="20"/>
      <c r="H11458"/>
      <c r="I11458"/>
    </row>
    <row r="11459" spans="2:9" ht="15" x14ac:dyDescent="0.25">
      <c r="B11459"/>
      <c r="C11459"/>
      <c r="D11459"/>
      <c r="E11459"/>
      <c r="F11459"/>
      <c r="G11459" s="20"/>
      <c r="H11459"/>
      <c r="I11459"/>
    </row>
    <row r="11460" spans="2:9" ht="15" x14ac:dyDescent="0.25">
      <c r="B11460"/>
      <c r="C11460"/>
      <c r="D11460"/>
      <c r="E11460"/>
      <c r="F11460"/>
      <c r="G11460" s="20"/>
      <c r="H11460"/>
      <c r="I11460"/>
    </row>
    <row r="11461" spans="2:9" ht="15" x14ac:dyDescent="0.25">
      <c r="B11461"/>
      <c r="C11461"/>
      <c r="D11461"/>
      <c r="E11461"/>
      <c r="F11461"/>
      <c r="G11461" s="20"/>
      <c r="H11461"/>
      <c r="I11461"/>
    </row>
    <row r="11462" spans="2:9" ht="15" x14ac:dyDescent="0.25">
      <c r="B11462"/>
      <c r="C11462"/>
      <c r="D11462"/>
      <c r="E11462"/>
      <c r="F11462"/>
      <c r="G11462" s="20"/>
      <c r="H11462"/>
      <c r="I11462"/>
    </row>
    <row r="11463" spans="2:9" ht="15" x14ac:dyDescent="0.25">
      <c r="B11463"/>
      <c r="C11463"/>
      <c r="D11463"/>
      <c r="E11463"/>
      <c r="F11463"/>
      <c r="G11463" s="20"/>
      <c r="H11463"/>
      <c r="I11463"/>
    </row>
    <row r="11464" spans="2:9" ht="15" x14ac:dyDescent="0.25">
      <c r="B11464"/>
      <c r="C11464"/>
      <c r="D11464"/>
      <c r="E11464"/>
      <c r="F11464"/>
      <c r="G11464" s="20"/>
      <c r="H11464"/>
      <c r="I11464"/>
    </row>
    <row r="11465" spans="2:9" ht="15" x14ac:dyDescent="0.25">
      <c r="B11465"/>
      <c r="C11465"/>
      <c r="D11465"/>
      <c r="E11465"/>
      <c r="F11465"/>
      <c r="G11465" s="20"/>
      <c r="H11465"/>
      <c r="I11465"/>
    </row>
    <row r="11466" spans="2:9" ht="15" x14ac:dyDescent="0.25">
      <c r="B11466"/>
      <c r="C11466"/>
      <c r="D11466"/>
      <c r="E11466"/>
      <c r="F11466"/>
      <c r="G11466" s="20"/>
      <c r="H11466"/>
      <c r="I11466"/>
    </row>
    <row r="11467" spans="2:9" ht="15" x14ac:dyDescent="0.25">
      <c r="B11467"/>
      <c r="C11467"/>
      <c r="D11467"/>
      <c r="E11467"/>
      <c r="F11467"/>
      <c r="G11467" s="20"/>
      <c r="H11467"/>
      <c r="I11467"/>
    </row>
    <row r="11468" spans="2:9" ht="15" x14ac:dyDescent="0.25">
      <c r="B11468"/>
      <c r="C11468"/>
      <c r="D11468"/>
      <c r="E11468"/>
      <c r="F11468"/>
      <c r="G11468" s="20"/>
      <c r="H11468"/>
      <c r="I11468"/>
    </row>
    <row r="11469" spans="2:9" ht="15" x14ac:dyDescent="0.25">
      <c r="B11469"/>
      <c r="C11469"/>
      <c r="D11469"/>
      <c r="E11469"/>
      <c r="F11469"/>
      <c r="G11469" s="20"/>
      <c r="H11469"/>
      <c r="I11469"/>
    </row>
    <row r="11470" spans="2:9" ht="15" x14ac:dyDescent="0.25">
      <c r="B11470"/>
      <c r="C11470"/>
      <c r="D11470"/>
      <c r="E11470"/>
      <c r="F11470"/>
      <c r="G11470" s="20"/>
      <c r="H11470"/>
      <c r="I11470"/>
    </row>
    <row r="11471" spans="2:9" ht="15" x14ac:dyDescent="0.25">
      <c r="B11471"/>
      <c r="C11471"/>
      <c r="D11471"/>
      <c r="E11471"/>
      <c r="F11471"/>
      <c r="G11471" s="20"/>
      <c r="H11471"/>
      <c r="I11471"/>
    </row>
    <row r="11472" spans="2:9" ht="15" x14ac:dyDescent="0.25">
      <c r="B11472"/>
      <c r="C11472"/>
      <c r="D11472"/>
      <c r="E11472"/>
      <c r="F11472"/>
      <c r="G11472" s="20"/>
      <c r="H11472"/>
      <c r="I11472"/>
    </row>
    <row r="11473" spans="2:9" ht="15" x14ac:dyDescent="0.25">
      <c r="B11473"/>
      <c r="C11473"/>
      <c r="D11473"/>
      <c r="E11473"/>
      <c r="F11473"/>
      <c r="G11473" s="20"/>
      <c r="H11473"/>
      <c r="I11473"/>
    </row>
    <row r="11474" spans="2:9" ht="15" x14ac:dyDescent="0.25">
      <c r="B11474"/>
      <c r="C11474"/>
      <c r="D11474"/>
      <c r="E11474"/>
      <c r="F11474"/>
      <c r="G11474" s="20"/>
      <c r="H11474"/>
      <c r="I11474"/>
    </row>
    <row r="11475" spans="2:9" ht="15" x14ac:dyDescent="0.25">
      <c r="B11475"/>
      <c r="C11475"/>
      <c r="D11475"/>
      <c r="E11475"/>
      <c r="F11475"/>
      <c r="G11475" s="20"/>
      <c r="H11475"/>
      <c r="I11475"/>
    </row>
    <row r="11476" spans="2:9" ht="15" x14ac:dyDescent="0.25">
      <c r="B11476"/>
      <c r="C11476"/>
      <c r="D11476"/>
      <c r="E11476"/>
      <c r="F11476"/>
      <c r="G11476" s="20"/>
      <c r="H11476"/>
      <c r="I11476"/>
    </row>
    <row r="11477" spans="2:9" ht="15" x14ac:dyDescent="0.25">
      <c r="B11477"/>
      <c r="C11477"/>
      <c r="D11477"/>
      <c r="E11477"/>
      <c r="F11477"/>
      <c r="G11477" s="20"/>
      <c r="H11477"/>
      <c r="I11477"/>
    </row>
    <row r="11478" spans="2:9" ht="15" x14ac:dyDescent="0.25">
      <c r="B11478"/>
      <c r="C11478"/>
      <c r="D11478"/>
      <c r="E11478"/>
      <c r="F11478"/>
      <c r="G11478" s="20"/>
      <c r="H11478"/>
      <c r="I11478"/>
    </row>
    <row r="11479" spans="2:9" ht="15" x14ac:dyDescent="0.25">
      <c r="B11479"/>
      <c r="C11479"/>
      <c r="D11479"/>
      <c r="E11479"/>
      <c r="F11479"/>
      <c r="G11479" s="20"/>
      <c r="H11479"/>
      <c r="I11479"/>
    </row>
    <row r="11480" spans="2:9" ht="15" x14ac:dyDescent="0.25">
      <c r="B11480"/>
      <c r="C11480"/>
      <c r="D11480"/>
      <c r="E11480"/>
      <c r="F11480"/>
      <c r="G11480" s="20"/>
      <c r="H11480"/>
      <c r="I11480"/>
    </row>
    <row r="11481" spans="2:9" ht="15" x14ac:dyDescent="0.25">
      <c r="B11481"/>
      <c r="C11481"/>
      <c r="D11481"/>
      <c r="E11481"/>
      <c r="F11481"/>
      <c r="G11481" s="20"/>
      <c r="H11481"/>
      <c r="I11481"/>
    </row>
    <row r="11482" spans="2:9" ht="15" x14ac:dyDescent="0.25">
      <c r="B11482"/>
      <c r="C11482"/>
      <c r="D11482"/>
      <c r="E11482"/>
      <c r="F11482"/>
      <c r="G11482" s="20"/>
      <c r="H11482"/>
      <c r="I11482"/>
    </row>
    <row r="11483" spans="2:9" ht="15" x14ac:dyDescent="0.25">
      <c r="B11483"/>
      <c r="C11483"/>
      <c r="D11483"/>
      <c r="E11483"/>
      <c r="F11483"/>
      <c r="G11483" s="20"/>
      <c r="H11483"/>
      <c r="I11483"/>
    </row>
    <row r="11484" spans="2:9" ht="15" x14ac:dyDescent="0.25">
      <c r="B11484"/>
      <c r="C11484"/>
      <c r="D11484"/>
      <c r="E11484"/>
      <c r="F11484"/>
      <c r="G11484" s="20"/>
      <c r="H11484"/>
      <c r="I11484"/>
    </row>
    <row r="11485" spans="2:9" ht="15" x14ac:dyDescent="0.25">
      <c r="B11485"/>
      <c r="C11485"/>
      <c r="D11485"/>
      <c r="E11485"/>
      <c r="F11485"/>
      <c r="G11485" s="20"/>
      <c r="H11485"/>
      <c r="I11485"/>
    </row>
    <row r="11486" spans="2:9" ht="15" x14ac:dyDescent="0.25">
      <c r="B11486"/>
      <c r="C11486"/>
      <c r="D11486"/>
      <c r="E11486"/>
      <c r="F11486"/>
      <c r="G11486" s="20"/>
      <c r="H11486"/>
      <c r="I11486"/>
    </row>
    <row r="11487" spans="2:9" ht="15" x14ac:dyDescent="0.25">
      <c r="B11487"/>
      <c r="C11487"/>
      <c r="D11487"/>
      <c r="E11487"/>
      <c r="F11487"/>
      <c r="G11487" s="20"/>
      <c r="H11487"/>
      <c r="I11487"/>
    </row>
    <row r="11488" spans="2:9" ht="15" x14ac:dyDescent="0.25">
      <c r="B11488"/>
      <c r="C11488"/>
      <c r="D11488"/>
      <c r="E11488"/>
      <c r="F11488"/>
      <c r="G11488" s="20"/>
      <c r="H11488"/>
      <c r="I11488"/>
    </row>
    <row r="11489" spans="2:9" ht="15" x14ac:dyDescent="0.25">
      <c r="B11489"/>
      <c r="C11489"/>
      <c r="D11489"/>
      <c r="E11489"/>
      <c r="F11489"/>
      <c r="G11489" s="20"/>
      <c r="H11489"/>
      <c r="I11489"/>
    </row>
    <row r="11490" spans="2:9" ht="15" x14ac:dyDescent="0.25">
      <c r="B11490"/>
      <c r="C11490"/>
      <c r="D11490"/>
      <c r="E11490"/>
      <c r="F11490"/>
      <c r="G11490" s="20"/>
      <c r="H11490"/>
      <c r="I11490"/>
    </row>
    <row r="11491" spans="2:9" ht="15" x14ac:dyDescent="0.25">
      <c r="B11491"/>
      <c r="C11491"/>
      <c r="D11491"/>
      <c r="E11491"/>
      <c r="F11491"/>
      <c r="G11491" s="20"/>
      <c r="H11491"/>
      <c r="I11491"/>
    </row>
    <row r="11492" spans="2:9" ht="15" x14ac:dyDescent="0.25">
      <c r="B11492"/>
      <c r="C11492"/>
      <c r="D11492"/>
      <c r="E11492"/>
      <c r="F11492"/>
      <c r="G11492" s="20"/>
      <c r="H11492"/>
      <c r="I11492"/>
    </row>
    <row r="11493" spans="2:9" ht="15" x14ac:dyDescent="0.25">
      <c r="B11493"/>
      <c r="C11493"/>
      <c r="D11493"/>
      <c r="E11493"/>
      <c r="F11493"/>
      <c r="G11493" s="20"/>
      <c r="H11493"/>
      <c r="I11493"/>
    </row>
    <row r="11494" spans="2:9" ht="15" x14ac:dyDescent="0.25">
      <c r="B11494"/>
      <c r="C11494"/>
      <c r="D11494"/>
      <c r="E11494"/>
      <c r="F11494"/>
      <c r="G11494" s="20"/>
      <c r="H11494"/>
      <c r="I11494"/>
    </row>
    <row r="11495" spans="2:9" ht="15" x14ac:dyDescent="0.25">
      <c r="B11495"/>
      <c r="C11495"/>
      <c r="D11495"/>
      <c r="E11495"/>
      <c r="F11495"/>
      <c r="G11495" s="20"/>
      <c r="H11495"/>
      <c r="I11495"/>
    </row>
    <row r="11496" spans="2:9" ht="15" x14ac:dyDescent="0.25">
      <c r="B11496"/>
      <c r="C11496"/>
      <c r="D11496"/>
      <c r="E11496"/>
      <c r="F11496"/>
      <c r="G11496" s="20"/>
      <c r="H11496"/>
      <c r="I11496"/>
    </row>
    <row r="11497" spans="2:9" ht="15" x14ac:dyDescent="0.25">
      <c r="B11497"/>
      <c r="C11497"/>
      <c r="D11497"/>
      <c r="E11497"/>
      <c r="F11497"/>
      <c r="G11497" s="20"/>
      <c r="H11497"/>
      <c r="I11497"/>
    </row>
    <row r="11498" spans="2:9" ht="15" x14ac:dyDescent="0.25">
      <c r="B11498"/>
      <c r="C11498"/>
      <c r="D11498"/>
      <c r="E11498"/>
      <c r="F11498"/>
      <c r="G11498" s="20"/>
      <c r="H11498"/>
      <c r="I11498"/>
    </row>
    <row r="11499" spans="2:9" ht="15" x14ac:dyDescent="0.25">
      <c r="B11499"/>
      <c r="C11499"/>
      <c r="D11499"/>
      <c r="E11499"/>
      <c r="F11499"/>
      <c r="G11499" s="20"/>
      <c r="H11499"/>
      <c r="I11499"/>
    </row>
    <row r="11500" spans="2:9" ht="15" x14ac:dyDescent="0.25">
      <c r="B11500"/>
      <c r="C11500"/>
      <c r="D11500"/>
      <c r="E11500"/>
      <c r="F11500"/>
      <c r="G11500" s="20"/>
      <c r="H11500"/>
      <c r="I11500"/>
    </row>
    <row r="11501" spans="2:9" ht="15" x14ac:dyDescent="0.25">
      <c r="B11501"/>
      <c r="C11501"/>
      <c r="D11501"/>
      <c r="E11501"/>
      <c r="F11501"/>
      <c r="G11501" s="20"/>
      <c r="H11501"/>
      <c r="I11501"/>
    </row>
    <row r="11502" spans="2:9" ht="15" x14ac:dyDescent="0.25">
      <c r="B11502"/>
      <c r="C11502"/>
      <c r="D11502"/>
      <c r="E11502"/>
      <c r="F11502"/>
      <c r="G11502" s="20"/>
      <c r="H11502"/>
      <c r="I11502"/>
    </row>
    <row r="11503" spans="2:9" ht="15" x14ac:dyDescent="0.25">
      <c r="B11503"/>
      <c r="C11503"/>
      <c r="D11503"/>
      <c r="E11503"/>
      <c r="F11503"/>
      <c r="G11503" s="20"/>
      <c r="H11503"/>
      <c r="I11503"/>
    </row>
    <row r="11504" spans="2:9" ht="15" x14ac:dyDescent="0.25">
      <c r="B11504"/>
      <c r="C11504"/>
      <c r="D11504"/>
      <c r="E11504"/>
      <c r="F11504"/>
      <c r="G11504" s="20"/>
      <c r="H11504"/>
      <c r="I11504"/>
    </row>
    <row r="11505" spans="2:9" ht="15" x14ac:dyDescent="0.25">
      <c r="B11505"/>
      <c r="C11505"/>
      <c r="D11505"/>
      <c r="E11505"/>
      <c r="F11505"/>
      <c r="G11505" s="20"/>
      <c r="H11505"/>
      <c r="I11505"/>
    </row>
    <row r="11506" spans="2:9" ht="15" x14ac:dyDescent="0.25">
      <c r="B11506"/>
      <c r="C11506"/>
      <c r="D11506"/>
      <c r="E11506"/>
      <c r="F11506"/>
      <c r="G11506" s="20"/>
      <c r="H11506"/>
      <c r="I11506"/>
    </row>
    <row r="11507" spans="2:9" ht="15" x14ac:dyDescent="0.25">
      <c r="B11507"/>
      <c r="C11507"/>
      <c r="D11507"/>
      <c r="E11507"/>
      <c r="F11507"/>
      <c r="G11507" s="20"/>
      <c r="H11507"/>
      <c r="I11507"/>
    </row>
    <row r="11508" spans="2:9" ht="15" x14ac:dyDescent="0.25">
      <c r="B11508"/>
      <c r="C11508"/>
      <c r="D11508"/>
      <c r="E11508"/>
      <c r="F11508"/>
      <c r="G11508" s="20"/>
      <c r="H11508"/>
      <c r="I11508"/>
    </row>
    <row r="11509" spans="2:9" ht="15" x14ac:dyDescent="0.25">
      <c r="B11509"/>
      <c r="C11509"/>
      <c r="D11509"/>
      <c r="E11509"/>
      <c r="F11509"/>
      <c r="G11509" s="20"/>
      <c r="H11509"/>
      <c r="I11509"/>
    </row>
    <row r="11510" spans="2:9" ht="15" x14ac:dyDescent="0.25">
      <c r="B11510"/>
      <c r="C11510"/>
      <c r="D11510"/>
      <c r="E11510"/>
      <c r="F11510"/>
      <c r="G11510" s="20"/>
      <c r="H11510"/>
      <c r="I11510"/>
    </row>
    <row r="11511" spans="2:9" ht="15" x14ac:dyDescent="0.25">
      <c r="B11511"/>
      <c r="C11511"/>
      <c r="D11511"/>
      <c r="E11511"/>
      <c r="F11511"/>
      <c r="G11511" s="20"/>
      <c r="H11511"/>
      <c r="I11511"/>
    </row>
    <row r="11512" spans="2:9" ht="15" x14ac:dyDescent="0.25">
      <c r="B11512"/>
      <c r="C11512"/>
      <c r="D11512"/>
      <c r="E11512"/>
      <c r="F11512"/>
      <c r="G11512" s="20"/>
      <c r="H11512"/>
      <c r="I11512"/>
    </row>
    <row r="11513" spans="2:9" ht="15" x14ac:dyDescent="0.25">
      <c r="B11513"/>
      <c r="C11513"/>
      <c r="D11513"/>
      <c r="E11513"/>
      <c r="F11513"/>
      <c r="G11513" s="20"/>
      <c r="H11513"/>
      <c r="I11513"/>
    </row>
    <row r="11514" spans="2:9" ht="15" x14ac:dyDescent="0.25">
      <c r="B11514"/>
      <c r="C11514"/>
      <c r="D11514"/>
      <c r="E11514"/>
      <c r="F11514"/>
      <c r="G11514" s="20"/>
      <c r="H11514"/>
      <c r="I11514"/>
    </row>
    <row r="11515" spans="2:9" ht="15" x14ac:dyDescent="0.25">
      <c r="B11515"/>
      <c r="C11515"/>
      <c r="D11515"/>
      <c r="E11515"/>
      <c r="F11515"/>
      <c r="G11515" s="20"/>
      <c r="H11515"/>
      <c r="I11515"/>
    </row>
    <row r="11516" spans="2:9" ht="15" x14ac:dyDescent="0.25">
      <c r="B11516"/>
      <c r="C11516"/>
      <c r="D11516"/>
      <c r="E11516"/>
      <c r="F11516"/>
      <c r="G11516" s="20"/>
      <c r="H11516"/>
      <c r="I11516"/>
    </row>
    <row r="11517" spans="2:9" ht="15" x14ac:dyDescent="0.25">
      <c r="B11517"/>
      <c r="C11517"/>
      <c r="D11517"/>
      <c r="E11517"/>
      <c r="F11517"/>
      <c r="G11517" s="20"/>
      <c r="H11517"/>
      <c r="I11517"/>
    </row>
    <row r="11518" spans="2:9" ht="15" x14ac:dyDescent="0.25">
      <c r="B11518"/>
      <c r="C11518"/>
      <c r="D11518"/>
      <c r="E11518"/>
      <c r="F11518"/>
      <c r="G11518" s="20"/>
      <c r="H11518"/>
      <c r="I11518"/>
    </row>
    <row r="11519" spans="2:9" ht="15" x14ac:dyDescent="0.25">
      <c r="B11519"/>
      <c r="C11519"/>
      <c r="D11519"/>
      <c r="E11519"/>
      <c r="F11519"/>
      <c r="G11519" s="20"/>
      <c r="H11519"/>
      <c r="I11519"/>
    </row>
    <row r="11520" spans="2:9" ht="15" x14ac:dyDescent="0.25">
      <c r="B11520"/>
      <c r="C11520"/>
      <c r="D11520"/>
      <c r="E11520"/>
      <c r="F11520"/>
      <c r="G11520" s="20"/>
      <c r="H11520"/>
      <c r="I11520"/>
    </row>
    <row r="11521" spans="2:9" ht="15" x14ac:dyDescent="0.25">
      <c r="B11521"/>
      <c r="C11521"/>
      <c r="D11521"/>
      <c r="E11521"/>
      <c r="F11521"/>
      <c r="G11521" s="20"/>
      <c r="H11521"/>
      <c r="I11521"/>
    </row>
    <row r="11522" spans="2:9" ht="15" x14ac:dyDescent="0.25">
      <c r="B11522"/>
      <c r="C11522"/>
      <c r="D11522"/>
      <c r="E11522"/>
      <c r="F11522"/>
      <c r="G11522" s="20"/>
      <c r="H11522"/>
      <c r="I11522"/>
    </row>
    <row r="11523" spans="2:9" ht="15" x14ac:dyDescent="0.25">
      <c r="B11523"/>
      <c r="C11523"/>
      <c r="D11523"/>
      <c r="E11523"/>
      <c r="F11523"/>
      <c r="G11523" s="20"/>
      <c r="H11523"/>
      <c r="I11523"/>
    </row>
    <row r="11524" spans="2:9" ht="15" x14ac:dyDescent="0.25">
      <c r="B11524"/>
      <c r="C11524"/>
      <c r="D11524"/>
      <c r="E11524"/>
      <c r="F11524"/>
      <c r="G11524" s="20"/>
      <c r="H11524"/>
      <c r="I11524"/>
    </row>
    <row r="11525" spans="2:9" ht="15" x14ac:dyDescent="0.25">
      <c r="B11525"/>
      <c r="C11525"/>
      <c r="D11525"/>
      <c r="E11525"/>
      <c r="F11525"/>
      <c r="G11525" s="20"/>
      <c r="H11525"/>
      <c r="I11525"/>
    </row>
    <row r="11526" spans="2:9" ht="15" x14ac:dyDescent="0.25">
      <c r="B11526"/>
      <c r="C11526"/>
      <c r="D11526"/>
      <c r="E11526"/>
      <c r="F11526"/>
      <c r="G11526" s="20"/>
      <c r="H11526"/>
      <c r="I11526"/>
    </row>
    <row r="11527" spans="2:9" ht="15" x14ac:dyDescent="0.25">
      <c r="B11527"/>
      <c r="C11527"/>
      <c r="D11527"/>
      <c r="E11527"/>
      <c r="F11527"/>
      <c r="G11527" s="20"/>
      <c r="H11527"/>
      <c r="I11527"/>
    </row>
    <row r="11528" spans="2:9" ht="15" x14ac:dyDescent="0.25">
      <c r="B11528"/>
      <c r="C11528"/>
      <c r="D11528"/>
      <c r="E11528"/>
      <c r="F11528"/>
      <c r="G11528" s="20"/>
      <c r="H11528"/>
      <c r="I11528"/>
    </row>
    <row r="11529" spans="2:9" ht="15" x14ac:dyDescent="0.25">
      <c r="B11529"/>
      <c r="C11529"/>
      <c r="D11529"/>
      <c r="E11529"/>
      <c r="F11529"/>
      <c r="G11529" s="20"/>
      <c r="H11529"/>
      <c r="I11529"/>
    </row>
    <row r="11530" spans="2:9" ht="15" x14ac:dyDescent="0.25">
      <c r="B11530"/>
      <c r="C11530"/>
      <c r="D11530"/>
      <c r="E11530"/>
      <c r="F11530"/>
      <c r="G11530" s="20"/>
      <c r="H11530"/>
      <c r="I11530"/>
    </row>
    <row r="11531" spans="2:9" ht="15" x14ac:dyDescent="0.25">
      <c r="B11531"/>
      <c r="C11531"/>
      <c r="D11531"/>
      <c r="E11531"/>
      <c r="F11531"/>
      <c r="G11531" s="20"/>
      <c r="H11531"/>
      <c r="I11531"/>
    </row>
    <row r="11532" spans="2:9" ht="15" x14ac:dyDescent="0.25">
      <c r="B11532"/>
      <c r="C11532"/>
      <c r="D11532"/>
      <c r="E11532"/>
      <c r="F11532"/>
      <c r="G11532" s="20"/>
      <c r="H11532"/>
      <c r="I11532"/>
    </row>
    <row r="11533" spans="2:9" ht="15" x14ac:dyDescent="0.25">
      <c r="B11533"/>
      <c r="C11533"/>
      <c r="D11533"/>
      <c r="E11533"/>
      <c r="F11533"/>
      <c r="G11533" s="20"/>
      <c r="H11533"/>
      <c r="I11533"/>
    </row>
    <row r="11534" spans="2:9" ht="15" x14ac:dyDescent="0.25">
      <c r="B11534"/>
      <c r="C11534"/>
      <c r="D11534"/>
      <c r="E11534"/>
      <c r="F11534"/>
      <c r="G11534" s="20"/>
      <c r="H11534"/>
      <c r="I11534"/>
    </row>
    <row r="11535" spans="2:9" ht="15" x14ac:dyDescent="0.25">
      <c r="B11535"/>
      <c r="C11535"/>
      <c r="D11535"/>
      <c r="E11535"/>
      <c r="F11535"/>
      <c r="G11535" s="20"/>
      <c r="H11535"/>
      <c r="I11535"/>
    </row>
    <row r="11536" spans="2:9" ht="15" x14ac:dyDescent="0.25">
      <c r="B11536"/>
      <c r="C11536"/>
      <c r="D11536"/>
      <c r="E11536"/>
      <c r="F11536"/>
      <c r="G11536" s="20"/>
      <c r="H11536"/>
      <c r="I11536"/>
    </row>
    <row r="11537" spans="2:9" ht="15" x14ac:dyDescent="0.25">
      <c r="B11537"/>
      <c r="C11537"/>
      <c r="D11537"/>
      <c r="E11537"/>
      <c r="F11537"/>
      <c r="G11537" s="20"/>
      <c r="H11537"/>
      <c r="I11537"/>
    </row>
    <row r="11538" spans="2:9" ht="15" x14ac:dyDescent="0.25">
      <c r="B11538"/>
      <c r="C11538"/>
      <c r="D11538"/>
      <c r="E11538"/>
      <c r="F11538"/>
      <c r="G11538" s="20"/>
      <c r="H11538"/>
      <c r="I11538"/>
    </row>
    <row r="11539" spans="2:9" ht="15" x14ac:dyDescent="0.25">
      <c r="B11539"/>
      <c r="C11539"/>
      <c r="D11539"/>
      <c r="E11539"/>
      <c r="F11539"/>
      <c r="G11539" s="20"/>
      <c r="H11539"/>
      <c r="I11539"/>
    </row>
    <row r="11540" spans="2:9" ht="15" x14ac:dyDescent="0.25">
      <c r="B11540"/>
      <c r="C11540"/>
      <c r="D11540"/>
      <c r="E11540"/>
      <c r="F11540"/>
      <c r="G11540" s="20"/>
      <c r="H11540"/>
      <c r="I11540"/>
    </row>
    <row r="11541" spans="2:9" ht="15" x14ac:dyDescent="0.25">
      <c r="B11541"/>
      <c r="C11541"/>
      <c r="D11541"/>
      <c r="E11541"/>
      <c r="F11541"/>
      <c r="G11541" s="20"/>
      <c r="H11541"/>
      <c r="I11541"/>
    </row>
    <row r="11542" spans="2:9" ht="15" x14ac:dyDescent="0.25">
      <c r="B11542"/>
      <c r="C11542"/>
      <c r="D11542"/>
      <c r="E11542"/>
      <c r="F11542"/>
      <c r="G11542" s="20"/>
      <c r="H11542"/>
      <c r="I11542"/>
    </row>
    <row r="11543" spans="2:9" ht="15" x14ac:dyDescent="0.25">
      <c r="B11543"/>
      <c r="C11543"/>
      <c r="D11543"/>
      <c r="E11543"/>
      <c r="F11543"/>
      <c r="G11543" s="20"/>
      <c r="H11543"/>
      <c r="I11543"/>
    </row>
    <row r="11544" spans="2:9" ht="15" x14ac:dyDescent="0.25">
      <c r="B11544"/>
      <c r="C11544"/>
      <c r="D11544"/>
      <c r="E11544"/>
      <c r="F11544"/>
      <c r="G11544" s="20"/>
      <c r="H11544"/>
      <c r="I11544"/>
    </row>
    <row r="11545" spans="2:9" ht="15" x14ac:dyDescent="0.25">
      <c r="B11545"/>
      <c r="C11545"/>
      <c r="D11545"/>
      <c r="E11545"/>
      <c r="F11545"/>
      <c r="G11545" s="20"/>
      <c r="H11545"/>
      <c r="I11545"/>
    </row>
    <row r="11546" spans="2:9" ht="15" x14ac:dyDescent="0.25">
      <c r="B11546"/>
      <c r="C11546"/>
      <c r="D11546"/>
      <c r="E11546"/>
      <c r="F11546"/>
      <c r="G11546" s="20"/>
      <c r="H11546"/>
      <c r="I11546"/>
    </row>
    <row r="11547" spans="2:9" ht="15" x14ac:dyDescent="0.25">
      <c r="B11547"/>
      <c r="C11547"/>
      <c r="D11547"/>
      <c r="E11547"/>
      <c r="F11547"/>
      <c r="G11547" s="20"/>
      <c r="H11547"/>
      <c r="I11547"/>
    </row>
    <row r="11548" spans="2:9" ht="15" x14ac:dyDescent="0.25">
      <c r="B11548"/>
      <c r="C11548"/>
      <c r="D11548"/>
      <c r="E11548"/>
      <c r="F11548"/>
      <c r="G11548" s="20"/>
      <c r="H11548"/>
      <c r="I11548"/>
    </row>
    <row r="11549" spans="2:9" ht="15" x14ac:dyDescent="0.25">
      <c r="B11549"/>
      <c r="C11549"/>
      <c r="D11549"/>
      <c r="E11549"/>
      <c r="F11549"/>
      <c r="G11549" s="20"/>
      <c r="H11549"/>
      <c r="I11549"/>
    </row>
    <row r="11550" spans="2:9" ht="15" x14ac:dyDescent="0.25">
      <c r="B11550"/>
      <c r="C11550"/>
      <c r="D11550"/>
      <c r="E11550"/>
      <c r="F11550"/>
      <c r="G11550" s="20"/>
      <c r="H11550"/>
      <c r="I11550"/>
    </row>
    <row r="11551" spans="2:9" ht="15" x14ac:dyDescent="0.25">
      <c r="B11551"/>
      <c r="C11551"/>
      <c r="D11551"/>
      <c r="E11551"/>
      <c r="F11551"/>
      <c r="G11551" s="20"/>
      <c r="H11551"/>
      <c r="I11551"/>
    </row>
    <row r="11552" spans="2:9" ht="15" x14ac:dyDescent="0.25">
      <c r="B11552"/>
      <c r="C11552"/>
      <c r="D11552"/>
      <c r="E11552"/>
      <c r="F11552"/>
      <c r="G11552" s="20"/>
      <c r="H11552"/>
      <c r="I11552"/>
    </row>
    <row r="11553" spans="2:9" ht="15" x14ac:dyDescent="0.25">
      <c r="B11553"/>
      <c r="C11553"/>
      <c r="D11553"/>
      <c r="E11553"/>
      <c r="F11553"/>
      <c r="G11553" s="20"/>
      <c r="H11553"/>
      <c r="I11553"/>
    </row>
    <row r="11554" spans="2:9" ht="15" x14ac:dyDescent="0.25">
      <c r="B11554"/>
      <c r="C11554"/>
      <c r="D11554"/>
      <c r="E11554"/>
      <c r="F11554"/>
      <c r="G11554" s="20"/>
      <c r="H11554"/>
      <c r="I11554"/>
    </row>
    <row r="11555" spans="2:9" ht="15" x14ac:dyDescent="0.25">
      <c r="B11555"/>
      <c r="C11555"/>
      <c r="D11555"/>
      <c r="E11555"/>
      <c r="F11555"/>
      <c r="G11555" s="20"/>
      <c r="H11555"/>
      <c r="I11555"/>
    </row>
    <row r="11556" spans="2:9" ht="15" x14ac:dyDescent="0.25">
      <c r="B11556"/>
      <c r="C11556"/>
      <c r="D11556"/>
      <c r="E11556"/>
      <c r="F11556"/>
      <c r="G11556" s="20"/>
      <c r="H11556"/>
      <c r="I11556"/>
    </row>
    <row r="11557" spans="2:9" ht="15" x14ac:dyDescent="0.25">
      <c r="B11557"/>
      <c r="C11557"/>
      <c r="D11557"/>
      <c r="E11557"/>
      <c r="F11557"/>
      <c r="G11557" s="20"/>
      <c r="H11557"/>
      <c r="I11557"/>
    </row>
    <row r="11558" spans="2:9" ht="15" x14ac:dyDescent="0.25">
      <c r="B11558"/>
      <c r="C11558"/>
      <c r="D11558"/>
      <c r="E11558"/>
      <c r="F11558"/>
      <c r="G11558" s="20"/>
      <c r="H11558"/>
      <c r="I11558"/>
    </row>
    <row r="11559" spans="2:9" ht="15" x14ac:dyDescent="0.25">
      <c r="B11559"/>
      <c r="C11559"/>
      <c r="D11559"/>
      <c r="E11559"/>
      <c r="F11559"/>
      <c r="G11559" s="20"/>
      <c r="H11559"/>
      <c r="I11559"/>
    </row>
    <row r="11560" spans="2:9" ht="15" x14ac:dyDescent="0.25">
      <c r="B11560"/>
      <c r="C11560"/>
      <c r="D11560"/>
      <c r="E11560"/>
      <c r="F11560"/>
      <c r="G11560" s="20"/>
      <c r="H11560"/>
      <c r="I11560"/>
    </row>
    <row r="11561" spans="2:9" ht="15" x14ac:dyDescent="0.25">
      <c r="B11561"/>
      <c r="C11561"/>
      <c r="D11561"/>
      <c r="E11561"/>
      <c r="F11561"/>
      <c r="G11561" s="20"/>
      <c r="H11561"/>
      <c r="I11561"/>
    </row>
    <row r="11562" spans="2:9" ht="15" x14ac:dyDescent="0.25">
      <c r="B11562"/>
      <c r="C11562"/>
      <c r="D11562"/>
      <c r="E11562"/>
      <c r="F11562"/>
      <c r="G11562" s="20"/>
      <c r="H11562"/>
      <c r="I11562"/>
    </row>
    <row r="11563" spans="2:9" ht="15" x14ac:dyDescent="0.25">
      <c r="B11563"/>
      <c r="C11563"/>
      <c r="D11563"/>
      <c r="E11563"/>
      <c r="F11563"/>
      <c r="G11563" s="20"/>
      <c r="H11563"/>
      <c r="I11563"/>
    </row>
    <row r="11564" spans="2:9" ht="15" x14ac:dyDescent="0.25">
      <c r="B11564"/>
      <c r="C11564"/>
      <c r="D11564"/>
      <c r="E11564"/>
      <c r="F11564"/>
      <c r="G11564" s="20"/>
      <c r="H11564"/>
      <c r="I11564"/>
    </row>
    <row r="11565" spans="2:9" ht="15" x14ac:dyDescent="0.25">
      <c r="B11565"/>
      <c r="C11565"/>
      <c r="D11565"/>
      <c r="E11565"/>
      <c r="F11565"/>
      <c r="G11565" s="20"/>
      <c r="H11565"/>
      <c r="I11565"/>
    </row>
    <row r="11566" spans="2:9" ht="15" x14ac:dyDescent="0.25">
      <c r="B11566"/>
      <c r="C11566"/>
      <c r="D11566"/>
      <c r="E11566"/>
      <c r="F11566"/>
      <c r="G11566" s="20"/>
      <c r="H11566"/>
      <c r="I11566"/>
    </row>
    <row r="11567" spans="2:9" ht="15" x14ac:dyDescent="0.25">
      <c r="B11567"/>
      <c r="C11567"/>
      <c r="D11567"/>
      <c r="E11567"/>
      <c r="F11567"/>
      <c r="G11567" s="20"/>
      <c r="H11567"/>
      <c r="I11567"/>
    </row>
    <row r="11568" spans="2:9" ht="15" x14ac:dyDescent="0.25">
      <c r="B11568"/>
      <c r="C11568"/>
      <c r="D11568"/>
      <c r="E11568"/>
      <c r="F11568"/>
      <c r="G11568" s="20"/>
      <c r="H11568"/>
      <c r="I11568"/>
    </row>
    <row r="11569" spans="2:9" ht="15" x14ac:dyDescent="0.25">
      <c r="B11569"/>
      <c r="C11569"/>
      <c r="D11569"/>
      <c r="E11569"/>
      <c r="F11569"/>
      <c r="G11569" s="20"/>
      <c r="H11569"/>
      <c r="I11569"/>
    </row>
    <row r="11570" spans="2:9" ht="15" x14ac:dyDescent="0.25">
      <c r="B11570"/>
      <c r="C11570"/>
      <c r="D11570"/>
      <c r="E11570"/>
      <c r="F11570"/>
      <c r="G11570" s="20"/>
      <c r="H11570"/>
      <c r="I11570"/>
    </row>
    <row r="11571" spans="2:9" ht="15" x14ac:dyDescent="0.25">
      <c r="B11571"/>
      <c r="C11571"/>
      <c r="D11571"/>
      <c r="E11571"/>
      <c r="F11571"/>
      <c r="G11571" s="20"/>
      <c r="H11571"/>
      <c r="I11571"/>
    </row>
    <row r="11572" spans="2:9" ht="15" x14ac:dyDescent="0.25">
      <c r="B11572"/>
      <c r="C11572"/>
      <c r="D11572"/>
      <c r="E11572"/>
      <c r="F11572"/>
      <c r="G11572" s="20"/>
      <c r="H11572"/>
      <c r="I11572"/>
    </row>
    <row r="11573" spans="2:9" ht="15" x14ac:dyDescent="0.25">
      <c r="B11573"/>
      <c r="C11573"/>
      <c r="D11573"/>
      <c r="E11573"/>
      <c r="F11573"/>
      <c r="G11573" s="20"/>
      <c r="H11573"/>
      <c r="I11573"/>
    </row>
    <row r="11574" spans="2:9" ht="15" x14ac:dyDescent="0.25">
      <c r="B11574"/>
      <c r="C11574"/>
      <c r="D11574"/>
      <c r="E11574"/>
      <c r="F11574"/>
      <c r="G11574" s="20"/>
      <c r="H11574"/>
      <c r="I11574"/>
    </row>
    <row r="11575" spans="2:9" ht="15" x14ac:dyDescent="0.25">
      <c r="B11575"/>
      <c r="C11575"/>
      <c r="D11575"/>
      <c r="E11575"/>
      <c r="F11575"/>
      <c r="G11575" s="20"/>
      <c r="H11575"/>
      <c r="I11575"/>
    </row>
    <row r="11576" spans="2:9" ht="15" x14ac:dyDescent="0.25">
      <c r="B11576"/>
      <c r="C11576"/>
      <c r="D11576"/>
      <c r="E11576"/>
      <c r="F11576"/>
      <c r="G11576" s="20"/>
      <c r="H11576"/>
      <c r="I11576"/>
    </row>
    <row r="11577" spans="2:9" ht="15" x14ac:dyDescent="0.25">
      <c r="B11577"/>
      <c r="C11577"/>
      <c r="D11577"/>
      <c r="E11577"/>
      <c r="F11577"/>
      <c r="G11577" s="20"/>
      <c r="H11577"/>
      <c r="I11577"/>
    </row>
    <row r="11578" spans="2:9" ht="15" x14ac:dyDescent="0.25">
      <c r="B11578"/>
      <c r="C11578"/>
      <c r="D11578"/>
      <c r="E11578"/>
      <c r="F11578"/>
      <c r="G11578" s="20"/>
      <c r="H11578"/>
      <c r="I11578"/>
    </row>
    <row r="11579" spans="2:9" ht="15" x14ac:dyDescent="0.25">
      <c r="B11579"/>
      <c r="C11579"/>
      <c r="D11579"/>
      <c r="E11579"/>
      <c r="F11579"/>
      <c r="G11579" s="20"/>
      <c r="H11579"/>
      <c r="I11579"/>
    </row>
    <row r="11580" spans="2:9" ht="15" x14ac:dyDescent="0.25">
      <c r="B11580"/>
      <c r="C11580"/>
      <c r="D11580"/>
      <c r="E11580"/>
      <c r="F11580"/>
      <c r="G11580" s="20"/>
      <c r="H11580"/>
      <c r="I11580"/>
    </row>
    <row r="11581" spans="2:9" ht="15" x14ac:dyDescent="0.25">
      <c r="B11581"/>
      <c r="C11581"/>
      <c r="D11581"/>
      <c r="E11581"/>
      <c r="F11581"/>
      <c r="G11581" s="20"/>
      <c r="H11581"/>
      <c r="I11581"/>
    </row>
    <row r="11582" spans="2:9" ht="15" x14ac:dyDescent="0.25">
      <c r="B11582"/>
      <c r="C11582"/>
      <c r="D11582"/>
      <c r="E11582"/>
      <c r="F11582"/>
      <c r="G11582" s="20"/>
      <c r="H11582"/>
      <c r="I11582"/>
    </row>
    <row r="11583" spans="2:9" ht="15" x14ac:dyDescent="0.25">
      <c r="B11583"/>
      <c r="C11583"/>
      <c r="D11583"/>
      <c r="E11583"/>
      <c r="F11583"/>
      <c r="G11583" s="20"/>
      <c r="H11583"/>
      <c r="I11583"/>
    </row>
    <row r="11584" spans="2:9" ht="15" x14ac:dyDescent="0.25">
      <c r="B11584"/>
      <c r="C11584"/>
      <c r="D11584"/>
      <c r="E11584"/>
      <c r="F11584"/>
      <c r="G11584" s="20"/>
      <c r="H11584"/>
      <c r="I11584"/>
    </row>
    <row r="11585" spans="2:9" ht="15" x14ac:dyDescent="0.25">
      <c r="B11585"/>
      <c r="C11585"/>
      <c r="D11585"/>
      <c r="E11585"/>
      <c r="F11585"/>
      <c r="G11585" s="20"/>
      <c r="H11585"/>
      <c r="I11585"/>
    </row>
    <row r="11586" spans="2:9" ht="15" x14ac:dyDescent="0.25">
      <c r="B11586"/>
      <c r="C11586"/>
      <c r="D11586"/>
      <c r="E11586"/>
      <c r="F11586"/>
      <c r="G11586" s="20"/>
      <c r="H11586"/>
      <c r="I11586"/>
    </row>
    <row r="11587" spans="2:9" ht="15" x14ac:dyDescent="0.25">
      <c r="B11587"/>
      <c r="C11587"/>
      <c r="D11587"/>
      <c r="E11587"/>
      <c r="F11587"/>
      <c r="G11587" s="20"/>
      <c r="H11587"/>
      <c r="I11587"/>
    </row>
    <row r="11588" spans="2:9" ht="15" x14ac:dyDescent="0.25">
      <c r="B11588"/>
      <c r="C11588"/>
      <c r="D11588"/>
      <c r="E11588"/>
      <c r="F11588"/>
      <c r="G11588" s="20"/>
      <c r="H11588"/>
      <c r="I11588"/>
    </row>
    <row r="11589" spans="2:9" ht="15" x14ac:dyDescent="0.25">
      <c r="B11589"/>
      <c r="C11589"/>
      <c r="D11589"/>
      <c r="E11589"/>
      <c r="F11589"/>
      <c r="G11589" s="20"/>
      <c r="H11589"/>
      <c r="I11589"/>
    </row>
    <row r="11590" spans="2:9" ht="15" x14ac:dyDescent="0.25">
      <c r="B11590"/>
      <c r="C11590"/>
      <c r="D11590"/>
      <c r="E11590"/>
      <c r="F11590"/>
      <c r="G11590" s="20"/>
      <c r="H11590"/>
      <c r="I11590"/>
    </row>
    <row r="11591" spans="2:9" ht="15" x14ac:dyDescent="0.25">
      <c r="B11591"/>
      <c r="C11591"/>
      <c r="D11591"/>
      <c r="E11591"/>
      <c r="F11591"/>
      <c r="G11591" s="20"/>
      <c r="H11591"/>
      <c r="I11591"/>
    </row>
    <row r="11592" spans="2:9" ht="15" x14ac:dyDescent="0.25">
      <c r="B11592"/>
      <c r="C11592"/>
      <c r="D11592"/>
      <c r="E11592"/>
      <c r="F11592"/>
      <c r="G11592" s="20"/>
      <c r="H11592"/>
      <c r="I11592"/>
    </row>
    <row r="11593" spans="2:9" ht="15" x14ac:dyDescent="0.25">
      <c r="B11593"/>
      <c r="C11593"/>
      <c r="D11593"/>
      <c r="E11593"/>
      <c r="F11593"/>
      <c r="G11593" s="20"/>
      <c r="H11593"/>
      <c r="I11593"/>
    </row>
    <row r="11594" spans="2:9" ht="15" x14ac:dyDescent="0.25">
      <c r="B11594"/>
      <c r="C11594"/>
      <c r="D11594"/>
      <c r="E11594"/>
      <c r="F11594"/>
      <c r="G11594" s="20"/>
      <c r="H11594"/>
      <c r="I11594"/>
    </row>
    <row r="11595" spans="2:9" ht="15" x14ac:dyDescent="0.25">
      <c r="B11595"/>
      <c r="C11595"/>
      <c r="D11595"/>
      <c r="E11595"/>
      <c r="F11595"/>
      <c r="G11595" s="20"/>
      <c r="H11595"/>
      <c r="I11595"/>
    </row>
    <row r="11596" spans="2:9" ht="15" x14ac:dyDescent="0.25">
      <c r="B11596"/>
      <c r="C11596"/>
      <c r="D11596"/>
      <c r="E11596"/>
      <c r="F11596"/>
      <c r="G11596" s="20"/>
      <c r="H11596"/>
      <c r="I11596"/>
    </row>
    <row r="11597" spans="2:9" ht="15" x14ac:dyDescent="0.25">
      <c r="B11597"/>
      <c r="C11597"/>
      <c r="D11597"/>
      <c r="E11597"/>
      <c r="F11597"/>
      <c r="G11597" s="20"/>
      <c r="H11597"/>
      <c r="I11597"/>
    </row>
    <row r="11598" spans="2:9" ht="15" x14ac:dyDescent="0.25">
      <c r="B11598"/>
      <c r="C11598"/>
      <c r="D11598"/>
      <c r="E11598"/>
      <c r="F11598"/>
      <c r="G11598" s="20"/>
      <c r="H11598"/>
      <c r="I11598"/>
    </row>
    <row r="11599" spans="2:9" ht="15" x14ac:dyDescent="0.25">
      <c r="B11599"/>
      <c r="C11599"/>
      <c r="D11599"/>
      <c r="E11599"/>
      <c r="F11599"/>
      <c r="G11599" s="20"/>
      <c r="H11599"/>
      <c r="I11599"/>
    </row>
    <row r="11600" spans="2:9" ht="15" x14ac:dyDescent="0.25">
      <c r="B11600"/>
      <c r="C11600"/>
      <c r="D11600"/>
      <c r="E11600"/>
      <c r="F11600"/>
      <c r="G11600" s="20"/>
      <c r="H11600"/>
      <c r="I11600"/>
    </row>
    <row r="11601" spans="2:9" ht="15" x14ac:dyDescent="0.25">
      <c r="B11601"/>
      <c r="C11601"/>
      <c r="D11601"/>
      <c r="E11601"/>
      <c r="F11601"/>
      <c r="G11601" s="20"/>
      <c r="H11601"/>
      <c r="I11601"/>
    </row>
    <row r="11602" spans="2:9" ht="15" x14ac:dyDescent="0.25">
      <c r="B11602"/>
      <c r="C11602"/>
      <c r="D11602"/>
      <c r="E11602"/>
      <c r="F11602"/>
      <c r="G11602" s="20"/>
      <c r="H11602"/>
      <c r="I11602"/>
    </row>
    <row r="11603" spans="2:9" ht="15" x14ac:dyDescent="0.25">
      <c r="B11603"/>
      <c r="C11603"/>
      <c r="D11603"/>
      <c r="E11603"/>
      <c r="F11603"/>
      <c r="G11603" s="20"/>
      <c r="H11603"/>
      <c r="I11603"/>
    </row>
    <row r="11604" spans="2:9" ht="15" x14ac:dyDescent="0.25">
      <c r="B11604"/>
      <c r="C11604"/>
      <c r="D11604"/>
      <c r="E11604"/>
      <c r="F11604"/>
      <c r="G11604" s="20"/>
      <c r="H11604"/>
      <c r="I11604"/>
    </row>
    <row r="11605" spans="2:9" ht="15" x14ac:dyDescent="0.25">
      <c r="B11605"/>
      <c r="C11605"/>
      <c r="D11605"/>
      <c r="E11605"/>
      <c r="F11605"/>
      <c r="G11605" s="20"/>
      <c r="H11605"/>
      <c r="I11605"/>
    </row>
    <row r="11606" spans="2:9" ht="15" x14ac:dyDescent="0.25">
      <c r="B11606"/>
      <c r="C11606"/>
      <c r="D11606"/>
      <c r="E11606"/>
      <c r="F11606"/>
      <c r="G11606" s="20"/>
      <c r="H11606"/>
      <c r="I11606"/>
    </row>
    <row r="11607" spans="2:9" ht="15" x14ac:dyDescent="0.25">
      <c r="B11607"/>
      <c r="C11607"/>
      <c r="D11607"/>
      <c r="E11607"/>
      <c r="F11607"/>
      <c r="G11607" s="20"/>
      <c r="H11607"/>
      <c r="I11607"/>
    </row>
    <row r="11608" spans="2:9" ht="15" x14ac:dyDescent="0.25">
      <c r="B11608"/>
      <c r="C11608"/>
      <c r="D11608"/>
      <c r="E11608"/>
      <c r="F11608"/>
      <c r="G11608" s="20"/>
      <c r="H11608"/>
      <c r="I11608"/>
    </row>
    <row r="11609" spans="2:9" ht="15" x14ac:dyDescent="0.25">
      <c r="B11609"/>
      <c r="C11609"/>
      <c r="D11609"/>
      <c r="E11609"/>
      <c r="F11609"/>
      <c r="G11609" s="20"/>
      <c r="H11609"/>
      <c r="I11609"/>
    </row>
    <row r="11610" spans="2:9" ht="15" x14ac:dyDescent="0.25">
      <c r="B11610"/>
      <c r="C11610"/>
      <c r="D11610"/>
      <c r="E11610"/>
      <c r="F11610"/>
      <c r="G11610" s="20"/>
      <c r="H11610"/>
      <c r="I11610"/>
    </row>
    <row r="11611" spans="2:9" ht="15" x14ac:dyDescent="0.25">
      <c r="B11611"/>
      <c r="C11611"/>
      <c r="D11611"/>
      <c r="E11611"/>
      <c r="F11611"/>
      <c r="G11611" s="20"/>
      <c r="H11611"/>
      <c r="I11611"/>
    </row>
    <row r="11612" spans="2:9" ht="15" x14ac:dyDescent="0.25">
      <c r="B11612"/>
      <c r="C11612"/>
      <c r="D11612"/>
      <c r="E11612"/>
      <c r="F11612"/>
      <c r="G11612" s="20"/>
      <c r="H11612"/>
      <c r="I11612"/>
    </row>
    <row r="11613" spans="2:9" ht="15" x14ac:dyDescent="0.25">
      <c r="B11613"/>
      <c r="C11613"/>
      <c r="D11613"/>
      <c r="E11613"/>
      <c r="F11613"/>
      <c r="G11613" s="20"/>
      <c r="H11613"/>
      <c r="I11613"/>
    </row>
    <row r="11614" spans="2:9" ht="15" x14ac:dyDescent="0.25">
      <c r="B11614"/>
      <c r="C11614"/>
      <c r="D11614"/>
      <c r="E11614"/>
      <c r="F11614"/>
      <c r="G11614" s="20"/>
      <c r="H11614"/>
      <c r="I11614"/>
    </row>
    <row r="11615" spans="2:9" ht="15" x14ac:dyDescent="0.25">
      <c r="B11615"/>
      <c r="C11615"/>
      <c r="D11615"/>
      <c r="E11615"/>
      <c r="F11615"/>
      <c r="G11615" s="20"/>
      <c r="H11615"/>
      <c r="I11615"/>
    </row>
    <row r="11616" spans="2:9" ht="15" x14ac:dyDescent="0.25">
      <c r="B11616"/>
      <c r="C11616"/>
      <c r="D11616"/>
      <c r="E11616"/>
      <c r="F11616"/>
      <c r="G11616" s="20"/>
      <c r="H11616"/>
      <c r="I11616"/>
    </row>
    <row r="11617" spans="2:9" ht="15" x14ac:dyDescent="0.25">
      <c r="B11617"/>
      <c r="C11617"/>
      <c r="D11617"/>
      <c r="E11617"/>
      <c r="F11617"/>
      <c r="G11617" s="20"/>
      <c r="H11617"/>
      <c r="I11617"/>
    </row>
    <row r="11618" spans="2:9" ht="15" x14ac:dyDescent="0.25">
      <c r="B11618"/>
      <c r="C11618"/>
      <c r="D11618"/>
      <c r="E11618"/>
      <c r="F11618"/>
      <c r="G11618" s="20"/>
      <c r="H11618"/>
      <c r="I11618"/>
    </row>
    <row r="11619" spans="2:9" ht="15" x14ac:dyDescent="0.25">
      <c r="B11619"/>
      <c r="C11619"/>
      <c r="D11619"/>
      <c r="E11619"/>
      <c r="F11619"/>
      <c r="G11619" s="20"/>
      <c r="H11619"/>
      <c r="I11619"/>
    </row>
    <row r="11620" spans="2:9" ht="15" x14ac:dyDescent="0.25">
      <c r="B11620"/>
      <c r="C11620"/>
      <c r="D11620"/>
      <c r="E11620"/>
      <c r="F11620"/>
      <c r="G11620" s="20"/>
      <c r="H11620"/>
      <c r="I11620"/>
    </row>
    <row r="11621" spans="2:9" ht="15" x14ac:dyDescent="0.25">
      <c r="B11621"/>
      <c r="C11621"/>
      <c r="D11621"/>
      <c r="E11621"/>
      <c r="F11621"/>
      <c r="G11621" s="20"/>
      <c r="H11621"/>
      <c r="I11621"/>
    </row>
    <row r="11622" spans="2:9" ht="15" x14ac:dyDescent="0.25">
      <c r="B11622"/>
      <c r="C11622"/>
      <c r="D11622"/>
      <c r="E11622"/>
      <c r="F11622"/>
      <c r="G11622" s="20"/>
      <c r="H11622"/>
      <c r="I11622"/>
    </row>
    <row r="11623" spans="2:9" ht="15" x14ac:dyDescent="0.25">
      <c r="B11623"/>
      <c r="C11623"/>
      <c r="D11623"/>
      <c r="E11623"/>
      <c r="F11623"/>
      <c r="G11623" s="20"/>
      <c r="H11623"/>
      <c r="I11623"/>
    </row>
    <row r="11624" spans="2:9" ht="15" x14ac:dyDescent="0.25">
      <c r="B11624"/>
      <c r="C11624"/>
      <c r="D11624"/>
      <c r="E11624"/>
      <c r="F11624"/>
      <c r="G11624" s="20"/>
      <c r="H11624"/>
      <c r="I11624"/>
    </row>
    <row r="11625" spans="2:9" ht="15" x14ac:dyDescent="0.25">
      <c r="B11625"/>
      <c r="C11625"/>
      <c r="D11625"/>
      <c r="E11625"/>
      <c r="F11625"/>
      <c r="G11625" s="20"/>
      <c r="H11625"/>
      <c r="I11625"/>
    </row>
    <row r="11626" spans="2:9" ht="15" x14ac:dyDescent="0.25">
      <c r="B11626"/>
      <c r="C11626"/>
      <c r="D11626"/>
      <c r="E11626"/>
      <c r="F11626"/>
      <c r="G11626" s="20"/>
      <c r="H11626"/>
      <c r="I11626"/>
    </row>
    <row r="11627" spans="2:9" ht="15" x14ac:dyDescent="0.25">
      <c r="B11627"/>
      <c r="C11627"/>
      <c r="D11627"/>
      <c r="E11627"/>
      <c r="F11627"/>
      <c r="G11627" s="20"/>
      <c r="H11627"/>
      <c r="I11627"/>
    </row>
    <row r="11628" spans="2:9" ht="15" x14ac:dyDescent="0.25">
      <c r="B11628"/>
      <c r="C11628"/>
      <c r="D11628"/>
      <c r="E11628"/>
      <c r="F11628"/>
      <c r="G11628" s="20"/>
      <c r="H11628"/>
      <c r="I11628"/>
    </row>
    <row r="11629" spans="2:9" ht="15" x14ac:dyDescent="0.25">
      <c r="B11629"/>
      <c r="C11629"/>
      <c r="D11629"/>
      <c r="E11629"/>
      <c r="F11629"/>
      <c r="G11629" s="20"/>
      <c r="H11629"/>
      <c r="I11629"/>
    </row>
    <row r="11630" spans="2:9" ht="15" x14ac:dyDescent="0.25">
      <c r="B11630"/>
      <c r="C11630"/>
      <c r="D11630"/>
      <c r="E11630"/>
      <c r="F11630"/>
      <c r="G11630" s="20"/>
      <c r="H11630"/>
      <c r="I11630"/>
    </row>
    <row r="11631" spans="2:9" ht="15" x14ac:dyDescent="0.25">
      <c r="B11631"/>
      <c r="C11631"/>
      <c r="D11631"/>
      <c r="E11631"/>
      <c r="F11631"/>
      <c r="G11631" s="20"/>
      <c r="H11631"/>
      <c r="I11631"/>
    </row>
    <row r="11632" spans="2:9" ht="15" x14ac:dyDescent="0.25">
      <c r="B11632"/>
      <c r="C11632"/>
      <c r="D11632"/>
      <c r="E11632"/>
      <c r="F11632"/>
      <c r="G11632" s="20"/>
      <c r="H11632"/>
      <c r="I11632"/>
    </row>
    <row r="11633" spans="2:9" ht="15" x14ac:dyDescent="0.25">
      <c r="B11633"/>
      <c r="C11633"/>
      <c r="D11633"/>
      <c r="E11633"/>
      <c r="F11633"/>
      <c r="G11633" s="20"/>
      <c r="H11633"/>
      <c r="I11633"/>
    </row>
    <row r="11634" spans="2:9" ht="15" x14ac:dyDescent="0.25">
      <c r="B11634"/>
      <c r="C11634"/>
      <c r="D11634"/>
      <c r="E11634"/>
      <c r="F11634"/>
      <c r="G11634" s="20"/>
      <c r="H11634"/>
      <c r="I11634"/>
    </row>
    <row r="11635" spans="2:9" ht="15" x14ac:dyDescent="0.25">
      <c r="B11635"/>
      <c r="C11635"/>
      <c r="D11635"/>
      <c r="E11635"/>
      <c r="F11635"/>
      <c r="G11635" s="20"/>
      <c r="H11635"/>
      <c r="I11635"/>
    </row>
    <row r="11636" spans="2:9" ht="15" x14ac:dyDescent="0.25">
      <c r="B11636"/>
      <c r="C11636"/>
      <c r="D11636"/>
      <c r="E11636"/>
      <c r="F11636"/>
      <c r="G11636" s="20"/>
      <c r="H11636"/>
      <c r="I11636"/>
    </row>
    <row r="11637" spans="2:9" ht="15" x14ac:dyDescent="0.25">
      <c r="B11637"/>
      <c r="C11637"/>
      <c r="D11637"/>
      <c r="E11637"/>
      <c r="F11637"/>
      <c r="G11637" s="20"/>
      <c r="H11637"/>
      <c r="I11637"/>
    </row>
    <row r="11638" spans="2:9" ht="15" x14ac:dyDescent="0.25">
      <c r="B11638"/>
      <c r="C11638"/>
      <c r="D11638"/>
      <c r="E11638"/>
      <c r="F11638"/>
      <c r="G11638" s="20"/>
      <c r="H11638"/>
      <c r="I11638"/>
    </row>
    <row r="11639" spans="2:9" ht="15" x14ac:dyDescent="0.25">
      <c r="B11639"/>
      <c r="C11639"/>
      <c r="D11639"/>
      <c r="E11639"/>
      <c r="F11639"/>
      <c r="G11639" s="20"/>
      <c r="H11639"/>
      <c r="I11639"/>
    </row>
    <row r="11640" spans="2:9" ht="15" x14ac:dyDescent="0.25">
      <c r="B11640"/>
      <c r="C11640"/>
      <c r="D11640"/>
      <c r="E11640"/>
      <c r="F11640"/>
      <c r="G11640" s="20"/>
      <c r="H11640"/>
      <c r="I11640"/>
    </row>
    <row r="11641" spans="2:9" ht="15" x14ac:dyDescent="0.25">
      <c r="B11641"/>
      <c r="C11641"/>
      <c r="D11641"/>
      <c r="E11641"/>
      <c r="F11641"/>
      <c r="G11641" s="20"/>
      <c r="H11641"/>
      <c r="I11641"/>
    </row>
    <row r="11642" spans="2:9" ht="15" x14ac:dyDescent="0.25">
      <c r="B11642"/>
      <c r="C11642"/>
      <c r="D11642"/>
      <c r="E11642"/>
      <c r="F11642"/>
      <c r="G11642" s="20"/>
      <c r="H11642"/>
      <c r="I11642"/>
    </row>
    <row r="11643" spans="2:9" ht="15" x14ac:dyDescent="0.25">
      <c r="B11643"/>
      <c r="C11643"/>
      <c r="D11643"/>
      <c r="E11643"/>
      <c r="F11643"/>
      <c r="G11643" s="20"/>
      <c r="H11643"/>
      <c r="I11643"/>
    </row>
    <row r="11644" spans="2:9" ht="15" x14ac:dyDescent="0.25">
      <c r="B11644"/>
      <c r="C11644"/>
      <c r="D11644"/>
      <c r="E11644"/>
      <c r="F11644"/>
      <c r="G11644" s="20"/>
      <c r="H11644"/>
      <c r="I11644"/>
    </row>
    <row r="11645" spans="2:9" ht="15" x14ac:dyDescent="0.25">
      <c r="B11645"/>
      <c r="C11645"/>
      <c r="D11645"/>
      <c r="E11645"/>
      <c r="F11645"/>
      <c r="G11645" s="20"/>
      <c r="H11645"/>
      <c r="I11645"/>
    </row>
    <row r="11646" spans="2:9" ht="15" x14ac:dyDescent="0.25">
      <c r="B11646"/>
      <c r="C11646"/>
      <c r="D11646"/>
      <c r="E11646"/>
      <c r="F11646"/>
      <c r="G11646" s="20"/>
      <c r="H11646"/>
      <c r="I11646"/>
    </row>
    <row r="11647" spans="2:9" ht="15" x14ac:dyDescent="0.25">
      <c r="B11647"/>
      <c r="C11647"/>
      <c r="D11647"/>
      <c r="E11647"/>
      <c r="F11647"/>
      <c r="G11647" s="20"/>
      <c r="H11647"/>
      <c r="I11647"/>
    </row>
    <row r="11648" spans="2:9" ht="15" x14ac:dyDescent="0.25">
      <c r="B11648"/>
      <c r="C11648"/>
      <c r="D11648"/>
      <c r="E11648"/>
      <c r="F11648"/>
      <c r="G11648" s="20"/>
      <c r="H11648"/>
      <c r="I11648"/>
    </row>
    <row r="11649" spans="2:9" ht="15" x14ac:dyDescent="0.25">
      <c r="B11649"/>
      <c r="C11649"/>
      <c r="D11649"/>
      <c r="E11649"/>
      <c r="F11649"/>
      <c r="G11649" s="20"/>
      <c r="H11649"/>
      <c r="I11649"/>
    </row>
    <row r="11650" spans="2:9" ht="15" x14ac:dyDescent="0.25">
      <c r="B11650"/>
      <c r="C11650"/>
      <c r="D11650"/>
      <c r="E11650"/>
      <c r="F11650"/>
      <c r="G11650" s="20"/>
      <c r="H11650"/>
      <c r="I11650"/>
    </row>
    <row r="11651" spans="2:9" ht="15" x14ac:dyDescent="0.25">
      <c r="B11651"/>
      <c r="C11651"/>
      <c r="D11651"/>
      <c r="E11651"/>
      <c r="F11651"/>
      <c r="G11651" s="20"/>
      <c r="H11651"/>
      <c r="I11651"/>
    </row>
    <row r="11652" spans="2:9" ht="15" x14ac:dyDescent="0.25">
      <c r="B11652"/>
      <c r="C11652"/>
      <c r="D11652"/>
      <c r="E11652"/>
      <c r="F11652"/>
      <c r="G11652" s="20"/>
      <c r="H11652"/>
      <c r="I11652"/>
    </row>
    <row r="11653" spans="2:9" ht="15" x14ac:dyDescent="0.25">
      <c r="B11653"/>
      <c r="C11653"/>
      <c r="D11653"/>
      <c r="E11653"/>
      <c r="F11653"/>
      <c r="G11653" s="20"/>
      <c r="H11653"/>
      <c r="I11653"/>
    </row>
    <row r="11654" spans="2:9" ht="15" x14ac:dyDescent="0.25">
      <c r="B11654"/>
      <c r="C11654"/>
      <c r="D11654"/>
      <c r="E11654"/>
      <c r="F11654"/>
      <c r="G11654" s="20"/>
      <c r="H11654"/>
      <c r="I11654"/>
    </row>
    <row r="11655" spans="2:9" ht="15" x14ac:dyDescent="0.25">
      <c r="B11655"/>
      <c r="C11655"/>
      <c r="D11655"/>
      <c r="E11655"/>
      <c r="F11655"/>
      <c r="G11655" s="20"/>
      <c r="H11655"/>
      <c r="I11655"/>
    </row>
    <row r="11656" spans="2:9" ht="15" x14ac:dyDescent="0.25">
      <c r="B11656"/>
      <c r="C11656"/>
      <c r="D11656"/>
      <c r="E11656"/>
      <c r="F11656"/>
      <c r="G11656" s="20"/>
      <c r="H11656"/>
      <c r="I11656"/>
    </row>
    <row r="11657" spans="2:9" ht="15" x14ac:dyDescent="0.25">
      <c r="B11657"/>
      <c r="C11657"/>
      <c r="D11657"/>
      <c r="E11657"/>
      <c r="F11657"/>
      <c r="G11657" s="20"/>
      <c r="H11657"/>
      <c r="I11657"/>
    </row>
    <row r="11658" spans="2:9" ht="15" x14ac:dyDescent="0.25">
      <c r="B11658"/>
      <c r="C11658"/>
      <c r="D11658"/>
      <c r="E11658"/>
      <c r="F11658"/>
      <c r="G11658" s="20"/>
      <c r="H11658"/>
      <c r="I11658"/>
    </row>
    <row r="11659" spans="2:9" ht="15" x14ac:dyDescent="0.25">
      <c r="B11659"/>
      <c r="C11659"/>
      <c r="D11659"/>
      <c r="E11659"/>
      <c r="F11659"/>
      <c r="G11659" s="20"/>
      <c r="H11659"/>
      <c r="I11659"/>
    </row>
    <row r="11660" spans="2:9" ht="15" x14ac:dyDescent="0.25">
      <c r="B11660"/>
      <c r="C11660"/>
      <c r="D11660"/>
      <c r="E11660"/>
      <c r="F11660"/>
      <c r="G11660" s="20"/>
      <c r="H11660"/>
      <c r="I11660"/>
    </row>
    <row r="11661" spans="2:9" ht="15" x14ac:dyDescent="0.25">
      <c r="B11661"/>
      <c r="C11661"/>
      <c r="D11661"/>
      <c r="E11661"/>
      <c r="F11661"/>
      <c r="G11661" s="20"/>
      <c r="H11661"/>
      <c r="I11661"/>
    </row>
    <row r="11662" spans="2:9" ht="15" x14ac:dyDescent="0.25">
      <c r="B11662"/>
      <c r="C11662"/>
      <c r="D11662"/>
      <c r="E11662"/>
      <c r="F11662"/>
      <c r="G11662" s="20"/>
      <c r="H11662"/>
      <c r="I11662"/>
    </row>
    <row r="11663" spans="2:9" ht="15" x14ac:dyDescent="0.25">
      <c r="B11663"/>
      <c r="C11663"/>
      <c r="D11663"/>
      <c r="E11663"/>
      <c r="F11663"/>
      <c r="G11663" s="20"/>
      <c r="H11663"/>
      <c r="I11663"/>
    </row>
    <row r="11664" spans="2:9" ht="15" x14ac:dyDescent="0.25">
      <c r="B11664"/>
      <c r="C11664"/>
      <c r="D11664"/>
      <c r="E11664"/>
      <c r="F11664"/>
      <c r="G11664" s="20"/>
      <c r="H11664"/>
      <c r="I11664"/>
    </row>
    <row r="11665" spans="2:9" ht="15" x14ac:dyDescent="0.25">
      <c r="B11665"/>
      <c r="C11665"/>
      <c r="D11665"/>
      <c r="E11665"/>
      <c r="F11665"/>
      <c r="G11665" s="20"/>
      <c r="H11665"/>
      <c r="I11665"/>
    </row>
    <row r="11666" spans="2:9" ht="15" x14ac:dyDescent="0.25">
      <c r="B11666"/>
      <c r="C11666"/>
      <c r="D11666"/>
      <c r="E11666"/>
      <c r="F11666"/>
      <c r="G11666" s="20"/>
      <c r="H11666"/>
      <c r="I11666"/>
    </row>
    <row r="11667" spans="2:9" ht="15" x14ac:dyDescent="0.25">
      <c r="B11667"/>
      <c r="C11667"/>
      <c r="D11667"/>
      <c r="E11667"/>
      <c r="F11667"/>
      <c r="G11667" s="20"/>
      <c r="H11667"/>
      <c r="I11667"/>
    </row>
    <row r="11668" spans="2:9" ht="15" x14ac:dyDescent="0.25">
      <c r="B11668"/>
      <c r="C11668"/>
      <c r="D11668"/>
      <c r="E11668"/>
      <c r="F11668"/>
      <c r="G11668" s="20"/>
      <c r="H11668"/>
      <c r="I11668"/>
    </row>
    <row r="11669" spans="2:9" ht="15" x14ac:dyDescent="0.25">
      <c r="B11669"/>
      <c r="C11669"/>
      <c r="D11669"/>
      <c r="E11669"/>
      <c r="F11669"/>
      <c r="G11669" s="20"/>
      <c r="H11669"/>
      <c r="I11669"/>
    </row>
    <row r="11670" spans="2:9" ht="15" x14ac:dyDescent="0.25">
      <c r="B11670"/>
      <c r="C11670"/>
      <c r="D11670"/>
      <c r="E11670"/>
      <c r="F11670"/>
      <c r="G11670" s="20"/>
      <c r="H11670"/>
      <c r="I11670"/>
    </row>
    <row r="11671" spans="2:9" ht="15" x14ac:dyDescent="0.25">
      <c r="B11671"/>
      <c r="C11671"/>
      <c r="D11671"/>
      <c r="E11671"/>
      <c r="F11671"/>
      <c r="G11671" s="20"/>
      <c r="H11671"/>
      <c r="I11671"/>
    </row>
    <row r="11672" spans="2:9" ht="15" x14ac:dyDescent="0.25">
      <c r="B11672"/>
      <c r="C11672"/>
      <c r="D11672"/>
      <c r="E11672"/>
      <c r="F11672"/>
      <c r="G11672" s="20"/>
      <c r="H11672"/>
      <c r="I11672"/>
    </row>
    <row r="11673" spans="2:9" ht="15" x14ac:dyDescent="0.25">
      <c r="B11673"/>
      <c r="C11673"/>
      <c r="D11673"/>
      <c r="E11673"/>
      <c r="F11673"/>
      <c r="G11673" s="20"/>
      <c r="H11673"/>
      <c r="I11673"/>
    </row>
    <row r="11674" spans="2:9" ht="15" x14ac:dyDescent="0.25">
      <c r="B11674"/>
      <c r="C11674"/>
      <c r="D11674"/>
      <c r="E11674"/>
      <c r="F11674"/>
      <c r="G11674" s="20"/>
      <c r="H11674"/>
      <c r="I11674"/>
    </row>
    <row r="11675" spans="2:9" ht="15" x14ac:dyDescent="0.25">
      <c r="B11675"/>
      <c r="C11675"/>
      <c r="D11675"/>
      <c r="E11675"/>
      <c r="F11675"/>
      <c r="G11675" s="20"/>
      <c r="H11675"/>
      <c r="I11675"/>
    </row>
    <row r="11676" spans="2:9" ht="15" x14ac:dyDescent="0.25">
      <c r="B11676"/>
      <c r="C11676"/>
      <c r="D11676"/>
      <c r="E11676"/>
      <c r="F11676"/>
      <c r="G11676" s="20"/>
      <c r="H11676"/>
      <c r="I11676"/>
    </row>
    <row r="11677" spans="2:9" ht="15" x14ac:dyDescent="0.25">
      <c r="B11677"/>
      <c r="C11677"/>
      <c r="D11677"/>
      <c r="E11677"/>
      <c r="F11677"/>
      <c r="G11677" s="20"/>
      <c r="H11677"/>
      <c r="I11677"/>
    </row>
    <row r="11678" spans="2:9" ht="15" x14ac:dyDescent="0.25">
      <c r="B11678"/>
      <c r="C11678"/>
      <c r="D11678"/>
      <c r="E11678"/>
      <c r="F11678"/>
      <c r="G11678" s="20"/>
      <c r="H11678"/>
      <c r="I11678"/>
    </row>
    <row r="11679" spans="2:9" ht="15" x14ac:dyDescent="0.25">
      <c r="B11679"/>
      <c r="C11679"/>
      <c r="D11679"/>
      <c r="E11679"/>
      <c r="F11679"/>
      <c r="G11679" s="20"/>
      <c r="H11679"/>
      <c r="I11679"/>
    </row>
    <row r="11680" spans="2:9" ht="15" x14ac:dyDescent="0.25">
      <c r="B11680"/>
      <c r="C11680"/>
      <c r="D11680"/>
      <c r="E11680"/>
      <c r="F11680"/>
      <c r="G11680" s="20"/>
      <c r="H11680"/>
      <c r="I11680"/>
    </row>
    <row r="11681" spans="2:9" ht="15" x14ac:dyDescent="0.25">
      <c r="B11681"/>
      <c r="C11681"/>
      <c r="D11681"/>
      <c r="E11681"/>
      <c r="F11681"/>
      <c r="G11681" s="20"/>
      <c r="H11681"/>
      <c r="I11681"/>
    </row>
    <row r="11682" spans="2:9" ht="15" x14ac:dyDescent="0.25">
      <c r="B11682"/>
      <c r="C11682"/>
      <c r="D11682"/>
      <c r="E11682"/>
      <c r="F11682"/>
      <c r="G11682" s="20"/>
      <c r="H11682"/>
      <c r="I11682"/>
    </row>
    <row r="11683" spans="2:9" ht="15" x14ac:dyDescent="0.25">
      <c r="B11683"/>
      <c r="C11683"/>
      <c r="D11683"/>
      <c r="E11683"/>
      <c r="F11683"/>
      <c r="G11683" s="20"/>
      <c r="H11683"/>
      <c r="I11683"/>
    </row>
    <row r="11684" spans="2:9" ht="15" x14ac:dyDescent="0.25">
      <c r="B11684"/>
      <c r="C11684"/>
      <c r="D11684"/>
      <c r="E11684"/>
      <c r="F11684"/>
      <c r="G11684" s="20"/>
      <c r="H11684"/>
      <c r="I11684"/>
    </row>
    <row r="11685" spans="2:9" ht="15" x14ac:dyDescent="0.25">
      <c r="B11685"/>
      <c r="C11685"/>
      <c r="D11685"/>
      <c r="E11685"/>
      <c r="F11685"/>
      <c r="G11685" s="20"/>
      <c r="H11685"/>
      <c r="I11685"/>
    </row>
    <row r="11686" spans="2:9" ht="15" x14ac:dyDescent="0.25">
      <c r="B11686"/>
      <c r="C11686"/>
      <c r="D11686"/>
      <c r="E11686"/>
      <c r="F11686"/>
      <c r="G11686" s="20"/>
      <c r="H11686"/>
      <c r="I11686"/>
    </row>
    <row r="11687" spans="2:9" ht="15" x14ac:dyDescent="0.25">
      <c r="B11687"/>
      <c r="C11687"/>
      <c r="D11687"/>
      <c r="E11687"/>
      <c r="F11687"/>
      <c r="G11687" s="20"/>
      <c r="H11687"/>
      <c r="I11687"/>
    </row>
    <row r="11688" spans="2:9" ht="15" x14ac:dyDescent="0.25">
      <c r="B11688"/>
      <c r="C11688"/>
      <c r="D11688"/>
      <c r="E11688"/>
      <c r="F11688"/>
      <c r="G11688" s="20"/>
      <c r="H11688"/>
      <c r="I11688"/>
    </row>
    <row r="11689" spans="2:9" ht="15" x14ac:dyDescent="0.25">
      <c r="B11689"/>
      <c r="C11689"/>
      <c r="D11689"/>
      <c r="E11689"/>
      <c r="F11689"/>
      <c r="G11689" s="20"/>
      <c r="H11689"/>
      <c r="I11689"/>
    </row>
    <row r="11690" spans="2:9" ht="15" x14ac:dyDescent="0.25">
      <c r="B11690"/>
      <c r="C11690"/>
      <c r="D11690"/>
      <c r="E11690"/>
      <c r="F11690"/>
      <c r="G11690" s="20"/>
      <c r="H11690"/>
      <c r="I11690"/>
    </row>
    <row r="11691" spans="2:9" ht="15" x14ac:dyDescent="0.25">
      <c r="B11691"/>
      <c r="C11691"/>
      <c r="D11691"/>
      <c r="E11691"/>
      <c r="F11691"/>
      <c r="G11691" s="20"/>
      <c r="H11691"/>
      <c r="I11691"/>
    </row>
    <row r="11692" spans="2:9" ht="15" x14ac:dyDescent="0.25">
      <c r="B11692"/>
      <c r="C11692"/>
      <c r="D11692"/>
      <c r="E11692"/>
      <c r="F11692"/>
      <c r="G11692" s="20"/>
      <c r="H11692"/>
      <c r="I11692"/>
    </row>
    <row r="11693" spans="2:9" ht="15" x14ac:dyDescent="0.25">
      <c r="B11693"/>
      <c r="C11693"/>
      <c r="D11693"/>
      <c r="E11693"/>
      <c r="F11693"/>
      <c r="G11693" s="20"/>
      <c r="H11693"/>
      <c r="I11693"/>
    </row>
    <row r="11694" spans="2:9" ht="15" x14ac:dyDescent="0.25">
      <c r="B11694"/>
      <c r="C11694"/>
      <c r="D11694"/>
      <c r="E11694"/>
      <c r="F11694"/>
      <c r="G11694" s="20"/>
      <c r="H11694"/>
      <c r="I11694"/>
    </row>
    <row r="11695" spans="2:9" ht="15" x14ac:dyDescent="0.25">
      <c r="B11695"/>
      <c r="C11695"/>
      <c r="D11695"/>
      <c r="E11695"/>
      <c r="F11695"/>
      <c r="G11695" s="20"/>
      <c r="H11695"/>
      <c r="I11695"/>
    </row>
    <row r="11696" spans="2:9" ht="15" x14ac:dyDescent="0.25">
      <c r="B11696"/>
      <c r="C11696"/>
      <c r="D11696"/>
      <c r="E11696"/>
      <c r="F11696"/>
      <c r="G11696" s="20"/>
      <c r="H11696"/>
      <c r="I11696"/>
    </row>
    <row r="11697" spans="2:9" ht="15" x14ac:dyDescent="0.25">
      <c r="B11697"/>
      <c r="C11697"/>
      <c r="D11697"/>
      <c r="E11697"/>
      <c r="F11697"/>
      <c r="G11697" s="20"/>
      <c r="H11697"/>
      <c r="I11697"/>
    </row>
    <row r="11698" spans="2:9" ht="15" x14ac:dyDescent="0.25">
      <c r="B11698"/>
      <c r="C11698"/>
      <c r="D11698"/>
      <c r="E11698"/>
      <c r="F11698"/>
      <c r="G11698" s="20"/>
      <c r="H11698"/>
      <c r="I11698"/>
    </row>
    <row r="11699" spans="2:9" ht="15" x14ac:dyDescent="0.25">
      <c r="B11699"/>
      <c r="C11699"/>
      <c r="D11699"/>
      <c r="E11699"/>
      <c r="F11699"/>
      <c r="G11699" s="20"/>
      <c r="H11699"/>
      <c r="I11699"/>
    </row>
    <row r="11700" spans="2:9" ht="15" x14ac:dyDescent="0.25">
      <c r="B11700"/>
      <c r="C11700"/>
      <c r="D11700"/>
      <c r="E11700"/>
      <c r="F11700"/>
      <c r="G11700" s="20"/>
      <c r="H11700"/>
      <c r="I11700"/>
    </row>
    <row r="11701" spans="2:9" ht="15" x14ac:dyDescent="0.25">
      <c r="B11701"/>
      <c r="C11701"/>
      <c r="D11701"/>
      <c r="E11701"/>
      <c r="F11701"/>
      <c r="G11701" s="20"/>
      <c r="H11701"/>
      <c r="I11701"/>
    </row>
    <row r="11702" spans="2:9" ht="15" x14ac:dyDescent="0.25">
      <c r="B11702"/>
      <c r="C11702"/>
      <c r="D11702"/>
      <c r="E11702"/>
      <c r="F11702"/>
      <c r="G11702" s="20"/>
      <c r="H11702"/>
      <c r="I11702"/>
    </row>
    <row r="11703" spans="2:9" ht="15" x14ac:dyDescent="0.25">
      <c r="B11703"/>
      <c r="C11703"/>
      <c r="D11703"/>
      <c r="E11703"/>
      <c r="F11703"/>
      <c r="G11703" s="20"/>
      <c r="H11703"/>
      <c r="I11703"/>
    </row>
    <row r="11704" spans="2:9" ht="15" x14ac:dyDescent="0.25">
      <c r="B11704"/>
      <c r="C11704"/>
      <c r="D11704"/>
      <c r="E11704"/>
      <c r="F11704"/>
      <c r="G11704" s="20"/>
      <c r="H11704"/>
      <c r="I11704"/>
    </row>
    <row r="11705" spans="2:9" ht="15" x14ac:dyDescent="0.25">
      <c r="B11705"/>
      <c r="C11705"/>
      <c r="D11705"/>
      <c r="E11705"/>
      <c r="F11705"/>
      <c r="G11705" s="20"/>
      <c r="H11705"/>
      <c r="I11705"/>
    </row>
    <row r="11706" spans="2:9" ht="15" x14ac:dyDescent="0.25">
      <c r="B11706"/>
      <c r="C11706"/>
      <c r="D11706"/>
      <c r="E11706"/>
      <c r="F11706"/>
      <c r="G11706" s="20"/>
      <c r="H11706"/>
      <c r="I11706"/>
    </row>
    <row r="11707" spans="2:9" ht="15" x14ac:dyDescent="0.25">
      <c r="B11707"/>
      <c r="C11707"/>
      <c r="D11707"/>
      <c r="E11707"/>
      <c r="F11707"/>
      <c r="G11707" s="20"/>
      <c r="H11707"/>
      <c r="I11707"/>
    </row>
    <row r="11708" spans="2:9" ht="15" x14ac:dyDescent="0.25">
      <c r="B11708"/>
      <c r="C11708"/>
      <c r="D11708"/>
      <c r="E11708"/>
      <c r="F11708"/>
      <c r="G11708" s="20"/>
      <c r="H11708"/>
      <c r="I11708"/>
    </row>
    <row r="11709" spans="2:9" ht="15" x14ac:dyDescent="0.25">
      <c r="B11709"/>
      <c r="C11709"/>
      <c r="D11709"/>
      <c r="E11709"/>
      <c r="F11709"/>
      <c r="G11709" s="20"/>
      <c r="H11709"/>
      <c r="I11709"/>
    </row>
    <row r="11710" spans="2:9" ht="15" x14ac:dyDescent="0.25">
      <c r="B11710"/>
      <c r="C11710"/>
      <c r="D11710"/>
      <c r="E11710"/>
      <c r="F11710"/>
      <c r="G11710" s="20"/>
      <c r="H11710"/>
      <c r="I11710"/>
    </row>
    <row r="11711" spans="2:9" ht="15" x14ac:dyDescent="0.25">
      <c r="B11711"/>
      <c r="C11711"/>
      <c r="D11711"/>
      <c r="E11711"/>
      <c r="F11711"/>
      <c r="G11711" s="20"/>
      <c r="H11711"/>
      <c r="I11711"/>
    </row>
    <row r="11712" spans="2:9" ht="15" x14ac:dyDescent="0.25">
      <c r="B11712"/>
      <c r="C11712"/>
      <c r="D11712"/>
      <c r="E11712"/>
      <c r="F11712"/>
      <c r="G11712" s="20"/>
      <c r="H11712"/>
      <c r="I11712"/>
    </row>
    <row r="11713" spans="2:9" ht="15" x14ac:dyDescent="0.25">
      <c r="B11713"/>
      <c r="C11713"/>
      <c r="D11713"/>
      <c r="E11713"/>
      <c r="F11713"/>
      <c r="G11713" s="20"/>
      <c r="H11713"/>
      <c r="I11713"/>
    </row>
    <row r="11714" spans="2:9" ht="15" x14ac:dyDescent="0.25">
      <c r="B11714"/>
      <c r="C11714"/>
      <c r="D11714"/>
      <c r="E11714"/>
      <c r="F11714"/>
      <c r="G11714" s="20"/>
      <c r="H11714"/>
      <c r="I11714"/>
    </row>
    <row r="11715" spans="2:9" ht="15" x14ac:dyDescent="0.25">
      <c r="B11715"/>
      <c r="C11715"/>
      <c r="D11715"/>
      <c r="E11715"/>
      <c r="F11715"/>
      <c r="G11715" s="20"/>
      <c r="H11715"/>
      <c r="I11715"/>
    </row>
    <row r="11716" spans="2:9" ht="15" x14ac:dyDescent="0.25">
      <c r="B11716"/>
      <c r="C11716"/>
      <c r="D11716"/>
      <c r="E11716"/>
      <c r="F11716"/>
      <c r="G11716" s="20"/>
      <c r="H11716"/>
      <c r="I11716"/>
    </row>
    <row r="11717" spans="2:9" ht="15" x14ac:dyDescent="0.25">
      <c r="B11717"/>
      <c r="C11717"/>
      <c r="D11717"/>
      <c r="E11717"/>
      <c r="F11717"/>
      <c r="G11717" s="20"/>
      <c r="H11717"/>
      <c r="I11717"/>
    </row>
    <row r="11718" spans="2:9" ht="15" x14ac:dyDescent="0.25">
      <c r="B11718"/>
      <c r="C11718"/>
      <c r="D11718"/>
      <c r="E11718"/>
      <c r="F11718"/>
      <c r="G11718" s="20"/>
      <c r="H11718"/>
      <c r="I11718"/>
    </row>
    <row r="11719" spans="2:9" ht="15" x14ac:dyDescent="0.25">
      <c r="B11719"/>
      <c r="C11719"/>
      <c r="D11719"/>
      <c r="E11719"/>
      <c r="F11719"/>
      <c r="G11719" s="20"/>
      <c r="H11719"/>
      <c r="I11719"/>
    </row>
    <row r="11720" spans="2:9" ht="15" x14ac:dyDescent="0.25">
      <c r="B11720"/>
      <c r="C11720"/>
      <c r="D11720"/>
      <c r="E11720"/>
      <c r="F11720"/>
      <c r="G11720" s="20"/>
      <c r="H11720"/>
      <c r="I11720"/>
    </row>
    <row r="11721" spans="2:9" ht="15" x14ac:dyDescent="0.25">
      <c r="B11721"/>
      <c r="C11721"/>
      <c r="D11721"/>
      <c r="E11721"/>
      <c r="F11721"/>
      <c r="G11721" s="20"/>
      <c r="H11721"/>
      <c r="I11721"/>
    </row>
    <row r="11722" spans="2:9" ht="15" x14ac:dyDescent="0.25">
      <c r="B11722"/>
      <c r="C11722"/>
      <c r="D11722"/>
      <c r="E11722"/>
      <c r="F11722"/>
      <c r="G11722" s="20"/>
      <c r="H11722"/>
      <c r="I11722"/>
    </row>
    <row r="11723" spans="2:9" ht="15" x14ac:dyDescent="0.25">
      <c r="B11723"/>
      <c r="C11723"/>
      <c r="D11723"/>
      <c r="E11723"/>
      <c r="F11723"/>
      <c r="G11723" s="20"/>
      <c r="H11723"/>
      <c r="I11723"/>
    </row>
    <row r="11724" spans="2:9" ht="15" x14ac:dyDescent="0.25">
      <c r="B11724"/>
      <c r="C11724"/>
      <c r="D11724"/>
      <c r="E11724"/>
      <c r="F11724"/>
      <c r="G11724" s="20"/>
      <c r="H11724"/>
      <c r="I11724"/>
    </row>
    <row r="11725" spans="2:9" ht="15" x14ac:dyDescent="0.25">
      <c r="B11725"/>
      <c r="C11725"/>
      <c r="D11725"/>
      <c r="E11725"/>
      <c r="F11725"/>
      <c r="G11725" s="20"/>
      <c r="H11725"/>
      <c r="I11725"/>
    </row>
    <row r="11726" spans="2:9" ht="15" x14ac:dyDescent="0.25">
      <c r="B11726"/>
      <c r="C11726"/>
      <c r="D11726"/>
      <c r="E11726"/>
      <c r="F11726"/>
      <c r="G11726" s="20"/>
      <c r="H11726"/>
      <c r="I11726"/>
    </row>
    <row r="11727" spans="2:9" ht="15" x14ac:dyDescent="0.25">
      <c r="B11727"/>
      <c r="C11727"/>
      <c r="D11727"/>
      <c r="E11727"/>
      <c r="F11727"/>
      <c r="G11727" s="20"/>
      <c r="H11727"/>
      <c r="I11727"/>
    </row>
    <row r="11728" spans="2:9" ht="15" x14ac:dyDescent="0.25">
      <c r="B11728"/>
      <c r="C11728"/>
      <c r="D11728"/>
      <c r="E11728"/>
      <c r="F11728"/>
      <c r="G11728" s="20"/>
      <c r="H11728"/>
      <c r="I11728"/>
    </row>
    <row r="11729" spans="2:9" ht="15" x14ac:dyDescent="0.25">
      <c r="B11729"/>
      <c r="C11729"/>
      <c r="D11729"/>
      <c r="E11729"/>
      <c r="F11729"/>
      <c r="G11729" s="20"/>
      <c r="H11729"/>
      <c r="I11729"/>
    </row>
    <row r="11730" spans="2:9" ht="15" x14ac:dyDescent="0.25">
      <c r="B11730"/>
      <c r="C11730"/>
      <c r="D11730"/>
      <c r="E11730"/>
      <c r="F11730"/>
      <c r="G11730" s="20"/>
      <c r="H11730"/>
      <c r="I11730"/>
    </row>
    <row r="11731" spans="2:9" ht="15" x14ac:dyDescent="0.25">
      <c r="B11731"/>
      <c r="C11731"/>
      <c r="D11731"/>
      <c r="E11731"/>
      <c r="F11731"/>
      <c r="G11731" s="20"/>
      <c r="H11731"/>
      <c r="I11731"/>
    </row>
    <row r="11732" spans="2:9" ht="15" x14ac:dyDescent="0.25">
      <c r="B11732"/>
      <c r="C11732"/>
      <c r="D11732"/>
      <c r="E11732"/>
      <c r="F11732"/>
      <c r="G11732" s="20"/>
      <c r="H11732"/>
      <c r="I11732"/>
    </row>
    <row r="11733" spans="2:9" ht="15" x14ac:dyDescent="0.25">
      <c r="B11733"/>
      <c r="C11733"/>
      <c r="D11733"/>
      <c r="E11733"/>
      <c r="F11733"/>
      <c r="G11733" s="20"/>
      <c r="H11733"/>
      <c r="I11733"/>
    </row>
    <row r="11734" spans="2:9" ht="15" x14ac:dyDescent="0.25">
      <c r="B11734"/>
      <c r="C11734"/>
      <c r="D11734"/>
      <c r="E11734"/>
      <c r="F11734"/>
      <c r="G11734" s="20"/>
      <c r="H11734"/>
      <c r="I11734"/>
    </row>
    <row r="11735" spans="2:9" ht="15" x14ac:dyDescent="0.25">
      <c r="B11735"/>
      <c r="C11735"/>
      <c r="D11735"/>
      <c r="E11735"/>
      <c r="F11735"/>
      <c r="G11735" s="20"/>
      <c r="H11735"/>
      <c r="I11735"/>
    </row>
    <row r="11736" spans="2:9" ht="15" x14ac:dyDescent="0.25">
      <c r="B11736"/>
      <c r="C11736"/>
      <c r="D11736"/>
      <c r="E11736"/>
      <c r="F11736"/>
      <c r="G11736" s="20"/>
      <c r="H11736"/>
      <c r="I11736"/>
    </row>
    <row r="11737" spans="2:9" ht="15" x14ac:dyDescent="0.25">
      <c r="B11737"/>
      <c r="C11737"/>
      <c r="D11737"/>
      <c r="E11737"/>
      <c r="F11737"/>
      <c r="G11737" s="20"/>
      <c r="H11737"/>
      <c r="I11737"/>
    </row>
    <row r="11738" spans="2:9" ht="15" x14ac:dyDescent="0.25">
      <c r="B11738"/>
      <c r="C11738"/>
      <c r="D11738"/>
      <c r="E11738"/>
      <c r="F11738"/>
      <c r="G11738" s="20"/>
      <c r="H11738"/>
      <c r="I11738"/>
    </row>
    <row r="11739" spans="2:9" ht="15" x14ac:dyDescent="0.25">
      <c r="B11739"/>
      <c r="C11739"/>
      <c r="D11739"/>
      <c r="E11739"/>
      <c r="F11739"/>
      <c r="G11739" s="20"/>
      <c r="H11739"/>
      <c r="I11739"/>
    </row>
    <row r="11740" spans="2:9" ht="15" x14ac:dyDescent="0.25">
      <c r="B11740"/>
      <c r="C11740"/>
      <c r="D11740"/>
      <c r="E11740"/>
      <c r="F11740"/>
      <c r="G11740" s="20"/>
      <c r="H11740"/>
      <c r="I11740"/>
    </row>
    <row r="11741" spans="2:9" ht="15" x14ac:dyDescent="0.25">
      <c r="B11741"/>
      <c r="C11741"/>
      <c r="D11741"/>
      <c r="E11741"/>
      <c r="F11741"/>
      <c r="G11741" s="20"/>
      <c r="H11741"/>
      <c r="I11741"/>
    </row>
    <row r="11742" spans="2:9" ht="15" x14ac:dyDescent="0.25">
      <c r="B11742"/>
      <c r="C11742"/>
      <c r="D11742"/>
      <c r="E11742"/>
      <c r="F11742"/>
      <c r="G11742" s="20"/>
      <c r="H11742"/>
      <c r="I11742"/>
    </row>
    <row r="11743" spans="2:9" ht="15" x14ac:dyDescent="0.25">
      <c r="B11743"/>
      <c r="C11743"/>
      <c r="D11743"/>
      <c r="E11743"/>
      <c r="F11743"/>
      <c r="G11743" s="20"/>
      <c r="H11743"/>
      <c r="I11743"/>
    </row>
    <row r="11744" spans="2:9" ht="15" x14ac:dyDescent="0.25">
      <c r="B11744"/>
      <c r="C11744"/>
      <c r="D11744"/>
      <c r="E11744"/>
      <c r="F11744"/>
      <c r="G11744" s="20"/>
      <c r="H11744"/>
      <c r="I11744"/>
    </row>
    <row r="11745" spans="2:9" ht="15" x14ac:dyDescent="0.25">
      <c r="B11745"/>
      <c r="C11745"/>
      <c r="D11745"/>
      <c r="E11745"/>
      <c r="F11745"/>
      <c r="G11745" s="20"/>
      <c r="H11745"/>
      <c r="I11745"/>
    </row>
    <row r="11746" spans="2:9" ht="15" x14ac:dyDescent="0.25">
      <c r="B11746"/>
      <c r="C11746"/>
      <c r="D11746"/>
      <c r="E11746"/>
      <c r="F11746"/>
      <c r="G11746" s="20"/>
      <c r="H11746"/>
      <c r="I11746"/>
    </row>
    <row r="11747" spans="2:9" ht="15" x14ac:dyDescent="0.25">
      <c r="B11747"/>
      <c r="C11747"/>
      <c r="D11747"/>
      <c r="E11747"/>
      <c r="F11747"/>
      <c r="G11747" s="20"/>
      <c r="H11747"/>
      <c r="I11747"/>
    </row>
    <row r="11748" spans="2:9" ht="15" x14ac:dyDescent="0.25">
      <c r="B11748"/>
      <c r="C11748"/>
      <c r="D11748"/>
      <c r="E11748"/>
      <c r="F11748"/>
      <c r="G11748" s="20"/>
      <c r="H11748"/>
      <c r="I11748"/>
    </row>
    <row r="11749" spans="2:9" ht="15" x14ac:dyDescent="0.25">
      <c r="B11749"/>
      <c r="C11749"/>
      <c r="D11749"/>
      <c r="E11749"/>
      <c r="F11749"/>
      <c r="G11749" s="20"/>
      <c r="H11749"/>
      <c r="I11749"/>
    </row>
    <row r="11750" spans="2:9" ht="15" x14ac:dyDescent="0.25">
      <c r="B11750"/>
      <c r="C11750"/>
      <c r="D11750"/>
      <c r="E11750"/>
      <c r="F11750"/>
      <c r="G11750" s="20"/>
      <c r="H11750"/>
      <c r="I11750"/>
    </row>
    <row r="11751" spans="2:9" ht="15" x14ac:dyDescent="0.25">
      <c r="B11751"/>
      <c r="C11751"/>
      <c r="D11751"/>
      <c r="E11751"/>
      <c r="F11751"/>
      <c r="G11751" s="20"/>
      <c r="H11751"/>
      <c r="I11751"/>
    </row>
    <row r="11752" spans="2:9" ht="15" x14ac:dyDescent="0.25">
      <c r="B11752"/>
      <c r="C11752"/>
      <c r="D11752"/>
      <c r="E11752"/>
      <c r="F11752"/>
      <c r="G11752" s="20"/>
      <c r="H11752"/>
      <c r="I11752"/>
    </row>
    <row r="11753" spans="2:9" ht="15" x14ac:dyDescent="0.25">
      <c r="B11753"/>
      <c r="C11753"/>
      <c r="D11753"/>
      <c r="E11753"/>
      <c r="F11753"/>
      <c r="G11753" s="20"/>
      <c r="H11753"/>
      <c r="I11753"/>
    </row>
    <row r="11754" spans="2:9" ht="15" x14ac:dyDescent="0.25">
      <c r="B11754"/>
      <c r="C11754"/>
      <c r="D11754"/>
      <c r="E11754"/>
      <c r="F11754"/>
      <c r="G11754" s="20"/>
      <c r="H11754"/>
      <c r="I11754"/>
    </row>
    <row r="11755" spans="2:9" ht="15" x14ac:dyDescent="0.25">
      <c r="B11755"/>
      <c r="C11755"/>
      <c r="D11755"/>
      <c r="E11755"/>
      <c r="F11755"/>
      <c r="G11755" s="20"/>
      <c r="H11755"/>
      <c r="I11755"/>
    </row>
    <row r="11756" spans="2:9" ht="15" x14ac:dyDescent="0.25">
      <c r="B11756"/>
      <c r="C11756"/>
      <c r="D11756"/>
      <c r="E11756"/>
      <c r="F11756"/>
      <c r="G11756" s="20"/>
      <c r="H11756"/>
      <c r="I11756"/>
    </row>
    <row r="11757" spans="2:9" ht="15" x14ac:dyDescent="0.25">
      <c r="B11757"/>
      <c r="C11757"/>
      <c r="D11757"/>
      <c r="E11757"/>
      <c r="F11757"/>
      <c r="G11757" s="20"/>
      <c r="H11757"/>
      <c r="I11757"/>
    </row>
    <row r="11758" spans="2:9" ht="15" x14ac:dyDescent="0.25">
      <c r="B11758"/>
      <c r="C11758"/>
      <c r="D11758"/>
      <c r="E11758"/>
      <c r="F11758"/>
      <c r="G11758" s="20"/>
      <c r="H11758"/>
      <c r="I11758"/>
    </row>
    <row r="11759" spans="2:9" ht="15" x14ac:dyDescent="0.25">
      <c r="B11759"/>
      <c r="C11759"/>
      <c r="D11759"/>
      <c r="E11759"/>
      <c r="F11759"/>
      <c r="G11759" s="20"/>
      <c r="H11759"/>
      <c r="I11759"/>
    </row>
    <row r="11760" spans="2:9" ht="15" x14ac:dyDescent="0.25">
      <c r="B11760"/>
      <c r="C11760"/>
      <c r="D11760"/>
      <c r="E11760"/>
      <c r="F11760"/>
      <c r="G11760" s="20"/>
      <c r="H11760"/>
      <c r="I11760"/>
    </row>
    <row r="11761" spans="2:9" ht="15" x14ac:dyDescent="0.25">
      <c r="B11761"/>
      <c r="C11761"/>
      <c r="D11761"/>
      <c r="E11761"/>
      <c r="F11761"/>
      <c r="G11761" s="20"/>
      <c r="H11761"/>
      <c r="I11761"/>
    </row>
    <row r="11762" spans="2:9" ht="15" x14ac:dyDescent="0.25">
      <c r="B11762"/>
      <c r="C11762"/>
      <c r="D11762"/>
      <c r="E11762"/>
      <c r="F11762"/>
      <c r="G11762" s="20"/>
      <c r="H11762"/>
      <c r="I11762"/>
    </row>
    <row r="11763" spans="2:9" ht="15" x14ac:dyDescent="0.25">
      <c r="B11763"/>
      <c r="C11763"/>
      <c r="D11763"/>
      <c r="E11763"/>
      <c r="F11763"/>
      <c r="G11763" s="20"/>
      <c r="H11763"/>
      <c r="I11763"/>
    </row>
    <row r="11764" spans="2:9" ht="15" x14ac:dyDescent="0.25">
      <c r="B11764"/>
      <c r="C11764"/>
      <c r="D11764"/>
      <c r="E11764"/>
      <c r="F11764"/>
      <c r="G11764" s="20"/>
      <c r="H11764"/>
      <c r="I11764"/>
    </row>
    <row r="11765" spans="2:9" ht="15" x14ac:dyDescent="0.25">
      <c r="B11765"/>
      <c r="C11765"/>
      <c r="D11765"/>
      <c r="E11765"/>
      <c r="F11765"/>
      <c r="G11765" s="20"/>
      <c r="H11765"/>
      <c r="I11765"/>
    </row>
    <row r="11766" spans="2:9" ht="15" x14ac:dyDescent="0.25">
      <c r="B11766"/>
      <c r="C11766"/>
      <c r="D11766"/>
      <c r="E11766"/>
      <c r="F11766"/>
      <c r="G11766" s="20"/>
      <c r="H11766"/>
      <c r="I11766"/>
    </row>
    <row r="11767" spans="2:9" ht="15" x14ac:dyDescent="0.25">
      <c r="B11767"/>
      <c r="C11767"/>
      <c r="D11767"/>
      <c r="E11767"/>
      <c r="F11767"/>
      <c r="G11767" s="20"/>
      <c r="H11767"/>
      <c r="I11767"/>
    </row>
    <row r="11768" spans="2:9" ht="15" x14ac:dyDescent="0.25">
      <c r="B11768"/>
      <c r="C11768"/>
      <c r="D11768"/>
      <c r="E11768"/>
      <c r="F11768"/>
      <c r="G11768" s="20"/>
      <c r="H11768"/>
      <c r="I11768"/>
    </row>
    <row r="11769" spans="2:9" ht="15" x14ac:dyDescent="0.25">
      <c r="B11769"/>
      <c r="C11769"/>
      <c r="D11769"/>
      <c r="E11769"/>
      <c r="F11769"/>
      <c r="G11769" s="20"/>
      <c r="H11769"/>
      <c r="I11769"/>
    </row>
    <row r="11770" spans="2:9" ht="15" x14ac:dyDescent="0.25">
      <c r="B11770"/>
      <c r="C11770"/>
      <c r="D11770"/>
      <c r="E11770"/>
      <c r="F11770"/>
      <c r="G11770" s="20"/>
      <c r="H11770"/>
      <c r="I11770"/>
    </row>
    <row r="11771" spans="2:9" ht="15" x14ac:dyDescent="0.25">
      <c r="B11771"/>
      <c r="C11771"/>
      <c r="D11771"/>
      <c r="E11771"/>
      <c r="F11771"/>
      <c r="G11771" s="20"/>
      <c r="H11771"/>
      <c r="I11771"/>
    </row>
    <row r="11772" spans="2:9" ht="15" x14ac:dyDescent="0.25">
      <c r="B11772"/>
      <c r="C11772"/>
      <c r="D11772"/>
      <c r="E11772"/>
      <c r="F11772"/>
      <c r="G11772" s="20"/>
      <c r="H11772"/>
      <c r="I11772"/>
    </row>
    <row r="11773" spans="2:9" ht="15" x14ac:dyDescent="0.25">
      <c r="B11773"/>
      <c r="C11773"/>
      <c r="D11773"/>
      <c r="E11773"/>
      <c r="F11773"/>
      <c r="G11773" s="20"/>
      <c r="H11773"/>
      <c r="I11773"/>
    </row>
    <row r="11774" spans="2:9" ht="15" x14ac:dyDescent="0.25">
      <c r="B11774"/>
      <c r="C11774"/>
      <c r="D11774"/>
      <c r="E11774"/>
      <c r="F11774"/>
      <c r="G11774" s="20"/>
      <c r="H11774"/>
      <c r="I11774"/>
    </row>
    <row r="11775" spans="2:9" ht="15" x14ac:dyDescent="0.25">
      <c r="B11775"/>
      <c r="C11775"/>
      <c r="D11775"/>
      <c r="E11775"/>
      <c r="F11775"/>
      <c r="G11775" s="20"/>
      <c r="H11775"/>
      <c r="I11775"/>
    </row>
    <row r="11776" spans="2:9" ht="15" x14ac:dyDescent="0.25">
      <c r="B11776"/>
      <c r="C11776"/>
      <c r="D11776"/>
      <c r="E11776"/>
      <c r="F11776"/>
      <c r="G11776" s="20"/>
      <c r="H11776"/>
      <c r="I11776"/>
    </row>
    <row r="11777" spans="2:9" ht="15" x14ac:dyDescent="0.25">
      <c r="B11777"/>
      <c r="C11777"/>
      <c r="D11777"/>
      <c r="E11777"/>
      <c r="F11777"/>
      <c r="G11777" s="20"/>
      <c r="H11777"/>
      <c r="I11777"/>
    </row>
    <row r="11778" spans="2:9" ht="15" x14ac:dyDescent="0.25">
      <c r="B11778"/>
      <c r="C11778"/>
      <c r="D11778"/>
      <c r="E11778"/>
      <c r="F11778"/>
      <c r="G11778" s="20"/>
      <c r="H11778"/>
      <c r="I11778"/>
    </row>
    <row r="11779" spans="2:9" ht="15" x14ac:dyDescent="0.25">
      <c r="B11779"/>
      <c r="C11779"/>
      <c r="D11779"/>
      <c r="E11779"/>
      <c r="F11779"/>
      <c r="G11779" s="20"/>
      <c r="H11779"/>
      <c r="I11779"/>
    </row>
    <row r="11780" spans="2:9" ht="15" x14ac:dyDescent="0.25">
      <c r="B11780"/>
      <c r="C11780"/>
      <c r="D11780"/>
      <c r="E11780"/>
      <c r="F11780"/>
      <c r="G11780" s="20"/>
      <c r="H11780"/>
      <c r="I11780"/>
    </row>
    <row r="11781" spans="2:9" ht="15" x14ac:dyDescent="0.25">
      <c r="B11781"/>
      <c r="C11781"/>
      <c r="D11781"/>
      <c r="E11781"/>
      <c r="F11781"/>
      <c r="G11781" s="20"/>
      <c r="H11781"/>
      <c r="I11781"/>
    </row>
    <row r="11782" spans="2:9" ht="15" x14ac:dyDescent="0.25">
      <c r="B11782"/>
      <c r="C11782"/>
      <c r="D11782"/>
      <c r="E11782"/>
      <c r="F11782"/>
      <c r="G11782" s="20"/>
      <c r="H11782"/>
      <c r="I11782"/>
    </row>
    <row r="11783" spans="2:9" ht="15" x14ac:dyDescent="0.25">
      <c r="B11783"/>
      <c r="C11783"/>
      <c r="D11783"/>
      <c r="E11783"/>
      <c r="F11783"/>
      <c r="G11783" s="20"/>
      <c r="H11783"/>
      <c r="I11783"/>
    </row>
    <row r="11784" spans="2:9" ht="15" x14ac:dyDescent="0.25">
      <c r="B11784"/>
      <c r="C11784"/>
      <c r="D11784"/>
      <c r="E11784"/>
      <c r="F11784"/>
      <c r="G11784" s="20"/>
      <c r="H11784"/>
      <c r="I11784"/>
    </row>
    <row r="11785" spans="2:9" ht="15" x14ac:dyDescent="0.25">
      <c r="B11785"/>
      <c r="C11785"/>
      <c r="D11785"/>
      <c r="E11785"/>
      <c r="F11785"/>
      <c r="G11785" s="20"/>
      <c r="H11785"/>
      <c r="I11785"/>
    </row>
    <row r="11786" spans="2:9" ht="15" x14ac:dyDescent="0.25">
      <c r="B11786"/>
      <c r="C11786"/>
      <c r="D11786"/>
      <c r="E11786"/>
      <c r="F11786"/>
      <c r="G11786" s="20"/>
      <c r="H11786"/>
      <c r="I11786"/>
    </row>
    <row r="11787" spans="2:9" ht="15" x14ac:dyDescent="0.25">
      <c r="B11787"/>
      <c r="C11787"/>
      <c r="D11787"/>
      <c r="E11787"/>
      <c r="F11787"/>
      <c r="G11787" s="20"/>
      <c r="H11787"/>
      <c r="I11787"/>
    </row>
    <row r="11788" spans="2:9" ht="15" x14ac:dyDescent="0.25">
      <c r="B11788"/>
      <c r="C11788"/>
      <c r="D11788"/>
      <c r="E11788"/>
      <c r="F11788"/>
      <c r="G11788" s="20"/>
      <c r="H11788"/>
      <c r="I11788"/>
    </row>
    <row r="11789" spans="2:9" ht="15" x14ac:dyDescent="0.25">
      <c r="B11789"/>
      <c r="C11789"/>
      <c r="D11789"/>
      <c r="E11789"/>
      <c r="F11789"/>
      <c r="G11789" s="20"/>
      <c r="H11789"/>
      <c r="I11789"/>
    </row>
    <row r="11790" spans="2:9" ht="15" x14ac:dyDescent="0.25">
      <c r="B11790"/>
      <c r="C11790"/>
      <c r="D11790"/>
      <c r="E11790"/>
      <c r="F11790"/>
      <c r="G11790" s="20"/>
      <c r="H11790"/>
      <c r="I11790"/>
    </row>
    <row r="11791" spans="2:9" ht="15" x14ac:dyDescent="0.25">
      <c r="B11791"/>
      <c r="C11791"/>
      <c r="D11791"/>
      <c r="E11791"/>
      <c r="F11791"/>
      <c r="G11791" s="20"/>
      <c r="H11791"/>
      <c r="I11791"/>
    </row>
    <row r="11792" spans="2:9" ht="15" x14ac:dyDescent="0.25">
      <c r="B11792"/>
      <c r="C11792"/>
      <c r="D11792"/>
      <c r="E11792"/>
      <c r="F11792"/>
      <c r="G11792" s="20"/>
      <c r="H11792"/>
      <c r="I11792"/>
    </row>
    <row r="11793" spans="2:9" ht="15" x14ac:dyDescent="0.25">
      <c r="B11793"/>
      <c r="C11793"/>
      <c r="D11793"/>
      <c r="E11793"/>
      <c r="F11793"/>
      <c r="G11793" s="20"/>
      <c r="H11793"/>
      <c r="I11793"/>
    </row>
    <row r="11794" spans="2:9" ht="15" x14ac:dyDescent="0.25">
      <c r="B11794"/>
      <c r="C11794"/>
      <c r="D11794"/>
      <c r="E11794"/>
      <c r="F11794"/>
      <c r="G11794" s="20"/>
      <c r="H11794"/>
      <c r="I11794"/>
    </row>
    <row r="11795" spans="2:9" ht="15" x14ac:dyDescent="0.25">
      <c r="B11795"/>
      <c r="C11795"/>
      <c r="D11795"/>
      <c r="E11795"/>
      <c r="F11795"/>
      <c r="G11795" s="20"/>
      <c r="H11795"/>
      <c r="I11795"/>
    </row>
    <row r="11796" spans="2:9" ht="15" x14ac:dyDescent="0.25">
      <c r="B11796"/>
      <c r="C11796"/>
      <c r="D11796"/>
      <c r="E11796"/>
      <c r="F11796"/>
      <c r="G11796" s="20"/>
      <c r="H11796"/>
      <c r="I11796"/>
    </row>
    <row r="11797" spans="2:9" ht="15" x14ac:dyDescent="0.25">
      <c r="B11797"/>
      <c r="C11797"/>
      <c r="D11797"/>
      <c r="E11797"/>
      <c r="F11797"/>
      <c r="G11797" s="20"/>
      <c r="H11797"/>
      <c r="I11797"/>
    </row>
    <row r="11798" spans="2:9" ht="15" x14ac:dyDescent="0.25">
      <c r="B11798"/>
      <c r="C11798"/>
      <c r="D11798"/>
      <c r="E11798"/>
      <c r="F11798"/>
      <c r="G11798" s="20"/>
      <c r="H11798"/>
      <c r="I11798"/>
    </row>
    <row r="11799" spans="2:9" ht="15" x14ac:dyDescent="0.25">
      <c r="B11799"/>
      <c r="C11799"/>
      <c r="D11799"/>
      <c r="E11799"/>
      <c r="F11799"/>
      <c r="G11799" s="20"/>
      <c r="H11799"/>
      <c r="I11799"/>
    </row>
    <row r="11800" spans="2:9" ht="15" x14ac:dyDescent="0.25">
      <c r="B11800"/>
      <c r="C11800"/>
      <c r="D11800"/>
      <c r="E11800"/>
      <c r="F11800"/>
      <c r="G11800" s="20"/>
      <c r="H11800"/>
      <c r="I11800"/>
    </row>
    <row r="11801" spans="2:9" ht="15" x14ac:dyDescent="0.25">
      <c r="B11801"/>
      <c r="C11801"/>
      <c r="D11801"/>
      <c r="E11801"/>
      <c r="F11801"/>
      <c r="G11801" s="20"/>
      <c r="H11801"/>
      <c r="I11801"/>
    </row>
    <row r="11802" spans="2:9" ht="15" x14ac:dyDescent="0.25">
      <c r="B11802"/>
      <c r="C11802"/>
      <c r="D11802"/>
      <c r="E11802"/>
      <c r="F11802"/>
      <c r="G11802" s="20"/>
      <c r="H11802"/>
      <c r="I11802"/>
    </row>
    <row r="11803" spans="2:9" ht="15" x14ac:dyDescent="0.25">
      <c r="B11803"/>
      <c r="C11803"/>
      <c r="D11803"/>
      <c r="E11803"/>
      <c r="F11803"/>
      <c r="G11803" s="20"/>
      <c r="H11803"/>
      <c r="I11803"/>
    </row>
    <row r="11804" spans="2:9" ht="15" x14ac:dyDescent="0.25">
      <c r="B11804"/>
      <c r="C11804"/>
      <c r="D11804"/>
      <c r="E11804"/>
      <c r="F11804"/>
      <c r="G11804" s="20"/>
      <c r="H11804"/>
      <c r="I11804"/>
    </row>
    <row r="11805" spans="2:9" ht="15" x14ac:dyDescent="0.25">
      <c r="B11805"/>
      <c r="C11805"/>
      <c r="D11805"/>
      <c r="E11805"/>
      <c r="F11805"/>
      <c r="G11805" s="20"/>
      <c r="H11805"/>
      <c r="I11805"/>
    </row>
    <row r="11806" spans="2:9" ht="15" x14ac:dyDescent="0.25">
      <c r="B11806"/>
      <c r="C11806"/>
      <c r="D11806"/>
      <c r="E11806"/>
      <c r="F11806"/>
      <c r="G11806" s="20"/>
      <c r="H11806"/>
      <c r="I11806"/>
    </row>
    <row r="11807" spans="2:9" ht="15" x14ac:dyDescent="0.25">
      <c r="B11807"/>
      <c r="C11807"/>
      <c r="D11807"/>
      <c r="E11807"/>
      <c r="F11807"/>
      <c r="G11807" s="20"/>
      <c r="H11807"/>
      <c r="I11807"/>
    </row>
    <row r="11808" spans="2:9" ht="15" x14ac:dyDescent="0.25">
      <c r="B11808"/>
      <c r="C11808"/>
      <c r="D11808"/>
      <c r="E11808"/>
      <c r="F11808"/>
      <c r="G11808" s="20"/>
      <c r="H11808"/>
      <c r="I11808"/>
    </row>
    <row r="11809" spans="2:9" ht="15" x14ac:dyDescent="0.25">
      <c r="B11809"/>
      <c r="C11809"/>
      <c r="D11809"/>
      <c r="E11809"/>
      <c r="F11809"/>
      <c r="G11809" s="20"/>
      <c r="H11809"/>
      <c r="I11809"/>
    </row>
    <row r="11810" spans="2:9" ht="15" x14ac:dyDescent="0.25">
      <c r="B11810"/>
      <c r="C11810"/>
      <c r="D11810"/>
      <c r="E11810"/>
      <c r="F11810"/>
      <c r="G11810" s="20"/>
      <c r="H11810"/>
      <c r="I11810"/>
    </row>
    <row r="11811" spans="2:9" ht="15" x14ac:dyDescent="0.25">
      <c r="B11811"/>
      <c r="C11811"/>
      <c r="D11811"/>
      <c r="E11811"/>
      <c r="F11811"/>
      <c r="G11811" s="20"/>
      <c r="H11811"/>
      <c r="I11811"/>
    </row>
    <row r="11812" spans="2:9" ht="15" x14ac:dyDescent="0.25">
      <c r="B11812"/>
      <c r="C11812"/>
      <c r="D11812"/>
      <c r="E11812"/>
      <c r="F11812"/>
      <c r="G11812" s="20"/>
      <c r="H11812"/>
      <c r="I11812"/>
    </row>
    <row r="11813" spans="2:9" ht="15" x14ac:dyDescent="0.25">
      <c r="B11813"/>
      <c r="C11813"/>
      <c r="D11813"/>
      <c r="E11813"/>
      <c r="F11813"/>
      <c r="G11813" s="20"/>
      <c r="H11813"/>
      <c r="I11813"/>
    </row>
    <row r="11814" spans="2:9" ht="15" x14ac:dyDescent="0.25">
      <c r="B11814"/>
      <c r="C11814"/>
      <c r="D11814"/>
      <c r="E11814"/>
      <c r="F11814"/>
      <c r="G11814" s="20"/>
      <c r="H11814"/>
      <c r="I11814"/>
    </row>
    <row r="11815" spans="2:9" ht="15" x14ac:dyDescent="0.25">
      <c r="B11815"/>
      <c r="C11815"/>
      <c r="D11815"/>
      <c r="E11815"/>
      <c r="F11815"/>
      <c r="G11815" s="20"/>
      <c r="H11815"/>
      <c r="I11815"/>
    </row>
    <row r="11816" spans="2:9" ht="15" x14ac:dyDescent="0.25">
      <c r="B11816"/>
      <c r="C11816"/>
      <c r="D11816"/>
      <c r="E11816"/>
      <c r="F11816"/>
      <c r="G11816" s="20"/>
      <c r="H11816"/>
      <c r="I11816"/>
    </row>
    <row r="11817" spans="2:9" ht="15" x14ac:dyDescent="0.25">
      <c r="B11817"/>
      <c r="C11817"/>
      <c r="D11817"/>
      <c r="E11817"/>
      <c r="F11817"/>
      <c r="G11817" s="20"/>
      <c r="H11817"/>
      <c r="I11817"/>
    </row>
    <row r="11818" spans="2:9" ht="15" x14ac:dyDescent="0.25">
      <c r="B11818"/>
      <c r="C11818"/>
      <c r="D11818"/>
      <c r="E11818"/>
      <c r="F11818"/>
      <c r="G11818" s="20"/>
      <c r="H11818"/>
      <c r="I11818"/>
    </row>
    <row r="11819" spans="2:9" ht="15" x14ac:dyDescent="0.25">
      <c r="B11819"/>
      <c r="C11819"/>
      <c r="D11819"/>
      <c r="E11819"/>
      <c r="F11819"/>
      <c r="G11819" s="20"/>
      <c r="H11819"/>
      <c r="I11819"/>
    </row>
    <row r="11820" spans="2:9" ht="15" x14ac:dyDescent="0.25">
      <c r="B11820"/>
      <c r="C11820"/>
      <c r="D11820"/>
      <c r="E11820"/>
      <c r="F11820"/>
      <c r="G11820" s="20"/>
      <c r="H11820"/>
      <c r="I11820"/>
    </row>
    <row r="11821" spans="2:9" ht="15" x14ac:dyDescent="0.25">
      <c r="B11821"/>
      <c r="C11821"/>
      <c r="D11821"/>
      <c r="E11821"/>
      <c r="F11821"/>
      <c r="G11821" s="20"/>
      <c r="H11821"/>
      <c r="I11821"/>
    </row>
    <row r="11822" spans="2:9" ht="15" x14ac:dyDescent="0.25">
      <c r="B11822"/>
      <c r="C11822"/>
      <c r="D11822"/>
      <c r="E11822"/>
      <c r="F11822"/>
      <c r="G11822" s="20"/>
      <c r="H11822"/>
      <c r="I11822"/>
    </row>
    <row r="11823" spans="2:9" ht="15" x14ac:dyDescent="0.25">
      <c r="B11823"/>
      <c r="C11823"/>
      <c r="D11823"/>
      <c r="E11823"/>
      <c r="F11823"/>
      <c r="G11823" s="20"/>
      <c r="H11823"/>
      <c r="I11823"/>
    </row>
    <row r="11824" spans="2:9" ht="15" x14ac:dyDescent="0.25">
      <c r="B11824"/>
      <c r="C11824"/>
      <c r="D11824"/>
      <c r="E11824"/>
      <c r="F11824"/>
      <c r="G11824" s="20"/>
      <c r="H11824"/>
      <c r="I11824"/>
    </row>
    <row r="11825" spans="2:9" ht="15" x14ac:dyDescent="0.25">
      <c r="B11825"/>
      <c r="C11825"/>
      <c r="D11825"/>
      <c r="E11825"/>
      <c r="F11825"/>
      <c r="G11825" s="20"/>
      <c r="H11825"/>
      <c r="I11825"/>
    </row>
    <row r="11826" spans="2:9" ht="15" x14ac:dyDescent="0.25">
      <c r="B11826"/>
      <c r="C11826"/>
      <c r="D11826"/>
      <c r="E11826"/>
      <c r="F11826"/>
      <c r="G11826" s="20"/>
      <c r="H11826"/>
      <c r="I11826"/>
    </row>
    <row r="11827" spans="2:9" ht="15" x14ac:dyDescent="0.25">
      <c r="B11827"/>
      <c r="C11827"/>
      <c r="D11827"/>
      <c r="E11827"/>
      <c r="F11827"/>
      <c r="G11827" s="20"/>
      <c r="H11827"/>
      <c r="I11827"/>
    </row>
    <row r="11828" spans="2:9" ht="15" x14ac:dyDescent="0.25">
      <c r="B11828"/>
      <c r="C11828"/>
      <c r="D11828"/>
      <c r="E11828"/>
      <c r="F11828"/>
      <c r="G11828" s="20"/>
      <c r="H11828"/>
      <c r="I11828"/>
    </row>
    <row r="11829" spans="2:9" ht="15" x14ac:dyDescent="0.25">
      <c r="B11829"/>
      <c r="C11829"/>
      <c r="D11829"/>
      <c r="E11829"/>
      <c r="F11829"/>
      <c r="G11829" s="20"/>
      <c r="H11829"/>
      <c r="I11829"/>
    </row>
    <row r="11830" spans="2:9" ht="15" x14ac:dyDescent="0.25">
      <c r="B11830"/>
      <c r="C11830"/>
      <c r="D11830"/>
      <c r="E11830"/>
      <c r="F11830"/>
      <c r="G11830" s="20"/>
      <c r="H11830"/>
      <c r="I11830"/>
    </row>
    <row r="11831" spans="2:9" ht="15" x14ac:dyDescent="0.25">
      <c r="B11831"/>
      <c r="C11831"/>
      <c r="D11831"/>
      <c r="E11831"/>
      <c r="F11831"/>
      <c r="G11831" s="20"/>
      <c r="H11831"/>
      <c r="I11831"/>
    </row>
    <row r="11832" spans="2:9" ht="15" x14ac:dyDescent="0.25">
      <c r="B11832"/>
      <c r="C11832"/>
      <c r="D11832"/>
      <c r="E11832"/>
      <c r="F11832"/>
      <c r="G11832" s="20"/>
      <c r="H11832"/>
      <c r="I11832"/>
    </row>
    <row r="11833" spans="2:9" ht="15" x14ac:dyDescent="0.25">
      <c r="B11833"/>
      <c r="C11833"/>
      <c r="D11833"/>
      <c r="E11833"/>
      <c r="F11833"/>
      <c r="G11833" s="20"/>
      <c r="H11833"/>
      <c r="I11833"/>
    </row>
    <row r="11834" spans="2:9" ht="15" x14ac:dyDescent="0.25">
      <c r="B11834"/>
      <c r="C11834"/>
      <c r="D11834"/>
      <c r="E11834"/>
      <c r="F11834"/>
      <c r="G11834" s="20"/>
      <c r="H11834"/>
      <c r="I11834"/>
    </row>
    <row r="11835" spans="2:9" ht="15" x14ac:dyDescent="0.25">
      <c r="B11835"/>
      <c r="C11835"/>
      <c r="D11835"/>
      <c r="E11835"/>
      <c r="F11835"/>
      <c r="G11835" s="20"/>
      <c r="H11835"/>
      <c r="I11835"/>
    </row>
    <row r="11836" spans="2:9" ht="15" x14ac:dyDescent="0.25">
      <c r="B11836"/>
      <c r="C11836"/>
      <c r="D11836"/>
      <c r="E11836"/>
      <c r="F11836"/>
      <c r="G11836" s="20"/>
      <c r="H11836"/>
      <c r="I11836"/>
    </row>
    <row r="11837" spans="2:9" ht="15" x14ac:dyDescent="0.25">
      <c r="B11837"/>
      <c r="C11837"/>
      <c r="D11837"/>
      <c r="E11837"/>
      <c r="F11837"/>
      <c r="G11837" s="20"/>
      <c r="H11837"/>
      <c r="I11837"/>
    </row>
    <row r="11838" spans="2:9" ht="15" x14ac:dyDescent="0.25">
      <c r="B11838"/>
      <c r="C11838"/>
      <c r="D11838"/>
      <c r="E11838"/>
      <c r="F11838"/>
      <c r="G11838" s="20"/>
      <c r="H11838"/>
      <c r="I11838"/>
    </row>
    <row r="11839" spans="2:9" ht="15" x14ac:dyDescent="0.25">
      <c r="B11839"/>
      <c r="C11839"/>
      <c r="D11839"/>
      <c r="E11839"/>
      <c r="F11839"/>
      <c r="G11839" s="20"/>
      <c r="H11839"/>
      <c r="I11839"/>
    </row>
    <row r="11840" spans="2:9" ht="15" x14ac:dyDescent="0.25">
      <c r="B11840"/>
      <c r="C11840"/>
      <c r="D11840"/>
      <c r="E11840"/>
      <c r="F11840"/>
      <c r="G11840" s="20"/>
      <c r="H11840"/>
      <c r="I11840"/>
    </row>
    <row r="11841" spans="2:9" ht="15" x14ac:dyDescent="0.25">
      <c r="B11841"/>
      <c r="C11841"/>
      <c r="D11841"/>
      <c r="E11841"/>
      <c r="F11841"/>
      <c r="G11841" s="20"/>
      <c r="H11841"/>
      <c r="I11841"/>
    </row>
    <row r="11842" spans="2:9" ht="15" x14ac:dyDescent="0.25">
      <c r="B11842"/>
      <c r="C11842"/>
      <c r="D11842"/>
      <c r="E11842"/>
      <c r="F11842"/>
      <c r="G11842" s="20"/>
      <c r="H11842"/>
      <c r="I11842"/>
    </row>
    <row r="11843" spans="2:9" ht="15" x14ac:dyDescent="0.25">
      <c r="B11843"/>
      <c r="C11843"/>
      <c r="D11843"/>
      <c r="E11843"/>
      <c r="F11843"/>
      <c r="G11843" s="20"/>
      <c r="H11843"/>
      <c r="I11843"/>
    </row>
    <row r="11844" spans="2:9" ht="15" x14ac:dyDescent="0.25">
      <c r="B11844"/>
      <c r="C11844"/>
      <c r="D11844"/>
      <c r="E11844"/>
      <c r="F11844"/>
      <c r="G11844" s="20"/>
      <c r="H11844"/>
      <c r="I11844"/>
    </row>
    <row r="11845" spans="2:9" ht="15" x14ac:dyDescent="0.25">
      <c r="B11845"/>
      <c r="C11845"/>
      <c r="D11845"/>
      <c r="E11845"/>
      <c r="F11845"/>
      <c r="G11845" s="20"/>
      <c r="H11845"/>
      <c r="I11845"/>
    </row>
    <row r="11846" spans="2:9" ht="15" x14ac:dyDescent="0.25">
      <c r="B11846"/>
      <c r="C11846"/>
      <c r="D11846"/>
      <c r="E11846"/>
      <c r="F11846"/>
      <c r="G11846" s="20"/>
      <c r="H11846"/>
      <c r="I11846"/>
    </row>
    <row r="11847" spans="2:9" ht="15" x14ac:dyDescent="0.25">
      <c r="B11847"/>
      <c r="C11847"/>
      <c r="D11847"/>
      <c r="E11847"/>
      <c r="F11847"/>
      <c r="G11847" s="20"/>
      <c r="H11847"/>
      <c r="I11847"/>
    </row>
    <row r="11848" spans="2:9" ht="15" x14ac:dyDescent="0.25">
      <c r="B11848"/>
      <c r="C11848"/>
      <c r="D11848"/>
      <c r="E11848"/>
      <c r="F11848"/>
      <c r="G11848" s="20"/>
      <c r="H11848"/>
      <c r="I11848"/>
    </row>
    <row r="11849" spans="2:9" ht="15" x14ac:dyDescent="0.25">
      <c r="B11849"/>
      <c r="C11849"/>
      <c r="D11849"/>
      <c r="E11849"/>
      <c r="F11849"/>
      <c r="G11849" s="20"/>
      <c r="H11849"/>
      <c r="I11849"/>
    </row>
    <row r="11850" spans="2:9" ht="15" x14ac:dyDescent="0.25">
      <c r="B11850"/>
      <c r="C11850"/>
      <c r="D11850"/>
      <c r="E11850"/>
      <c r="F11850"/>
      <c r="G11850" s="20"/>
      <c r="H11850"/>
      <c r="I11850"/>
    </row>
    <row r="11851" spans="2:9" ht="15" x14ac:dyDescent="0.25">
      <c r="B11851"/>
      <c r="C11851"/>
      <c r="D11851"/>
      <c r="E11851"/>
      <c r="F11851"/>
      <c r="G11851" s="20"/>
      <c r="H11851"/>
      <c r="I11851"/>
    </row>
    <row r="11852" spans="2:9" ht="15" x14ac:dyDescent="0.25">
      <c r="B11852"/>
      <c r="C11852"/>
      <c r="D11852"/>
      <c r="E11852"/>
      <c r="F11852"/>
      <c r="G11852" s="20"/>
      <c r="H11852"/>
      <c r="I11852"/>
    </row>
    <row r="11853" spans="2:9" ht="15" x14ac:dyDescent="0.25">
      <c r="B11853"/>
      <c r="C11853"/>
      <c r="D11853"/>
      <c r="E11853"/>
      <c r="F11853"/>
      <c r="G11853" s="20"/>
      <c r="H11853"/>
      <c r="I11853"/>
    </row>
    <row r="11854" spans="2:9" ht="15" x14ac:dyDescent="0.25">
      <c r="B11854"/>
      <c r="C11854"/>
      <c r="D11854"/>
      <c r="E11854"/>
      <c r="F11854"/>
      <c r="G11854" s="20"/>
      <c r="H11854"/>
      <c r="I11854"/>
    </row>
    <row r="11855" spans="2:9" ht="15" x14ac:dyDescent="0.25">
      <c r="B11855"/>
      <c r="C11855"/>
      <c r="D11855"/>
      <c r="E11855"/>
      <c r="F11855"/>
      <c r="G11855" s="20"/>
      <c r="H11855"/>
      <c r="I11855"/>
    </row>
    <row r="11856" spans="2:9" ht="15" x14ac:dyDescent="0.25">
      <c r="B11856"/>
      <c r="C11856"/>
      <c r="D11856"/>
      <c r="E11856"/>
      <c r="F11856"/>
      <c r="G11856" s="20"/>
      <c r="H11856"/>
      <c r="I11856"/>
    </row>
    <row r="11857" spans="2:9" ht="15" x14ac:dyDescent="0.25">
      <c r="B11857"/>
      <c r="C11857"/>
      <c r="D11857"/>
      <c r="E11857"/>
      <c r="F11857"/>
      <c r="G11857" s="20"/>
      <c r="H11857"/>
      <c r="I11857"/>
    </row>
    <row r="11858" spans="2:9" ht="15" x14ac:dyDescent="0.25">
      <c r="B11858"/>
      <c r="C11858"/>
      <c r="D11858"/>
      <c r="E11858"/>
      <c r="F11858"/>
      <c r="G11858" s="20"/>
      <c r="H11858"/>
      <c r="I11858"/>
    </row>
    <row r="11859" spans="2:9" ht="15" x14ac:dyDescent="0.25">
      <c r="B11859"/>
      <c r="C11859"/>
      <c r="D11859"/>
      <c r="E11859"/>
      <c r="F11859"/>
      <c r="G11859" s="20"/>
      <c r="H11859"/>
      <c r="I11859"/>
    </row>
    <row r="11860" spans="2:9" ht="15" x14ac:dyDescent="0.25">
      <c r="B11860"/>
      <c r="C11860"/>
      <c r="D11860"/>
      <c r="E11860"/>
      <c r="F11860"/>
      <c r="G11860" s="20"/>
      <c r="H11860"/>
      <c r="I11860"/>
    </row>
    <row r="11861" spans="2:9" ht="15" x14ac:dyDescent="0.25">
      <c r="B11861"/>
      <c r="C11861"/>
      <c r="D11861"/>
      <c r="E11861"/>
      <c r="F11861"/>
      <c r="G11861" s="20"/>
      <c r="H11861"/>
      <c r="I11861"/>
    </row>
    <row r="11862" spans="2:9" ht="15" x14ac:dyDescent="0.25">
      <c r="B11862"/>
      <c r="C11862"/>
      <c r="D11862"/>
      <c r="E11862"/>
      <c r="F11862"/>
      <c r="G11862" s="20"/>
      <c r="H11862"/>
      <c r="I11862"/>
    </row>
    <row r="11863" spans="2:9" ht="15" x14ac:dyDescent="0.25">
      <c r="B11863"/>
      <c r="C11863"/>
      <c r="D11863"/>
      <c r="E11863"/>
      <c r="F11863"/>
      <c r="G11863" s="20"/>
      <c r="H11863"/>
      <c r="I11863"/>
    </row>
    <row r="11864" spans="2:9" ht="15" x14ac:dyDescent="0.25">
      <c r="B11864"/>
      <c r="C11864"/>
      <c r="D11864"/>
      <c r="E11864"/>
      <c r="F11864"/>
      <c r="G11864" s="20"/>
      <c r="H11864"/>
      <c r="I11864"/>
    </row>
    <row r="11865" spans="2:9" ht="15" x14ac:dyDescent="0.25">
      <c r="B11865"/>
      <c r="C11865"/>
      <c r="D11865"/>
      <c r="E11865"/>
      <c r="F11865"/>
      <c r="G11865" s="20"/>
      <c r="H11865"/>
      <c r="I11865"/>
    </row>
    <row r="11866" spans="2:9" ht="15" x14ac:dyDescent="0.25">
      <c r="B11866"/>
      <c r="C11866"/>
      <c r="D11866"/>
      <c r="E11866"/>
      <c r="F11866"/>
      <c r="G11866" s="20"/>
      <c r="H11866"/>
      <c r="I11866"/>
    </row>
    <row r="11867" spans="2:9" ht="15" x14ac:dyDescent="0.25">
      <c r="B11867"/>
      <c r="C11867"/>
      <c r="D11867"/>
      <c r="E11867"/>
      <c r="F11867"/>
      <c r="G11867" s="20"/>
      <c r="H11867"/>
      <c r="I11867"/>
    </row>
    <row r="11868" spans="2:9" ht="15" x14ac:dyDescent="0.25">
      <c r="B11868"/>
      <c r="C11868"/>
      <c r="D11868"/>
      <c r="E11868"/>
      <c r="F11868"/>
      <c r="G11868" s="20"/>
      <c r="H11868"/>
      <c r="I11868"/>
    </row>
    <row r="11869" spans="2:9" ht="15" x14ac:dyDescent="0.25">
      <c r="B11869"/>
      <c r="C11869"/>
      <c r="D11869"/>
      <c r="E11869"/>
      <c r="F11869"/>
      <c r="G11869" s="20"/>
      <c r="H11869"/>
      <c r="I11869"/>
    </row>
    <row r="11870" spans="2:9" ht="15" x14ac:dyDescent="0.25">
      <c r="B11870"/>
      <c r="C11870"/>
      <c r="D11870"/>
      <c r="E11870"/>
      <c r="F11870"/>
      <c r="G11870" s="20"/>
      <c r="H11870"/>
      <c r="I11870"/>
    </row>
    <row r="11871" spans="2:9" ht="15" x14ac:dyDescent="0.25">
      <c r="B11871"/>
      <c r="C11871"/>
      <c r="D11871"/>
      <c r="E11871"/>
      <c r="F11871"/>
      <c r="G11871" s="20"/>
      <c r="H11871"/>
      <c r="I11871"/>
    </row>
    <row r="11872" spans="2:9" ht="15" x14ac:dyDescent="0.25">
      <c r="B11872"/>
      <c r="C11872"/>
      <c r="D11872"/>
      <c r="E11872"/>
      <c r="F11872"/>
      <c r="G11872" s="20"/>
      <c r="H11872"/>
      <c r="I11872"/>
    </row>
    <row r="11873" spans="2:9" ht="15" x14ac:dyDescent="0.25">
      <c r="B11873"/>
      <c r="C11873"/>
      <c r="D11873"/>
      <c r="E11873"/>
      <c r="F11873"/>
      <c r="G11873" s="20"/>
      <c r="H11873"/>
      <c r="I11873"/>
    </row>
    <row r="11874" spans="2:9" ht="15" x14ac:dyDescent="0.25">
      <c r="B11874"/>
      <c r="C11874"/>
      <c r="D11874"/>
      <c r="E11874"/>
      <c r="F11874"/>
      <c r="G11874" s="20"/>
      <c r="H11874"/>
      <c r="I11874"/>
    </row>
    <row r="11875" spans="2:9" ht="15" x14ac:dyDescent="0.25">
      <c r="B11875"/>
      <c r="C11875"/>
      <c r="D11875"/>
      <c r="E11875"/>
      <c r="F11875"/>
      <c r="G11875" s="20"/>
      <c r="H11875"/>
      <c r="I11875"/>
    </row>
    <row r="11876" spans="2:9" ht="15" x14ac:dyDescent="0.25">
      <c r="B11876"/>
      <c r="C11876"/>
      <c r="D11876"/>
      <c r="E11876"/>
      <c r="F11876"/>
      <c r="G11876" s="20"/>
      <c r="H11876"/>
      <c r="I11876"/>
    </row>
    <row r="11877" spans="2:9" ht="15" x14ac:dyDescent="0.25">
      <c r="B11877"/>
      <c r="C11877"/>
      <c r="D11877"/>
      <c r="E11877"/>
      <c r="F11877"/>
      <c r="G11877" s="20"/>
      <c r="H11877"/>
      <c r="I11877"/>
    </row>
    <row r="11878" spans="2:9" ht="15" x14ac:dyDescent="0.25">
      <c r="B11878"/>
      <c r="C11878"/>
      <c r="D11878"/>
      <c r="E11878"/>
      <c r="F11878"/>
      <c r="G11878" s="20"/>
      <c r="H11878"/>
      <c r="I11878"/>
    </row>
    <row r="11879" spans="2:9" ht="15" x14ac:dyDescent="0.25">
      <c r="B11879"/>
      <c r="C11879"/>
      <c r="D11879"/>
      <c r="E11879"/>
      <c r="F11879"/>
      <c r="G11879" s="20"/>
      <c r="H11879"/>
      <c r="I11879"/>
    </row>
    <row r="11880" spans="2:9" ht="15" x14ac:dyDescent="0.25">
      <c r="B11880"/>
      <c r="C11880"/>
      <c r="D11880"/>
      <c r="E11880"/>
      <c r="F11880"/>
      <c r="G11880" s="20"/>
      <c r="H11880"/>
      <c r="I11880"/>
    </row>
    <row r="11881" spans="2:9" ht="15" x14ac:dyDescent="0.25">
      <c r="B11881"/>
      <c r="C11881"/>
      <c r="D11881"/>
      <c r="E11881"/>
      <c r="F11881"/>
      <c r="G11881" s="20"/>
      <c r="H11881"/>
      <c r="I11881"/>
    </row>
    <row r="11882" spans="2:9" ht="15" x14ac:dyDescent="0.25">
      <c r="B11882"/>
      <c r="C11882"/>
      <c r="D11882"/>
      <c r="E11882"/>
      <c r="F11882"/>
      <c r="G11882" s="20"/>
      <c r="H11882"/>
      <c r="I11882"/>
    </row>
    <row r="11883" spans="2:9" ht="15" x14ac:dyDescent="0.25">
      <c r="B11883"/>
      <c r="C11883"/>
      <c r="D11883"/>
      <c r="E11883"/>
      <c r="F11883"/>
      <c r="G11883" s="20"/>
      <c r="H11883"/>
      <c r="I11883"/>
    </row>
    <row r="11884" spans="2:9" ht="15" x14ac:dyDescent="0.25">
      <c r="B11884"/>
      <c r="C11884"/>
      <c r="D11884"/>
      <c r="E11884"/>
      <c r="F11884"/>
      <c r="G11884" s="20"/>
      <c r="H11884"/>
      <c r="I11884"/>
    </row>
    <row r="11885" spans="2:9" ht="15" x14ac:dyDescent="0.25">
      <c r="B11885"/>
      <c r="C11885"/>
      <c r="D11885"/>
      <c r="E11885"/>
      <c r="F11885"/>
      <c r="G11885" s="20"/>
      <c r="H11885"/>
      <c r="I11885"/>
    </row>
    <row r="11886" spans="2:9" ht="15" x14ac:dyDescent="0.25">
      <c r="B11886"/>
      <c r="C11886"/>
      <c r="D11886"/>
      <c r="E11886"/>
      <c r="F11886"/>
      <c r="G11886" s="20"/>
      <c r="H11886"/>
      <c r="I11886"/>
    </row>
    <row r="11887" spans="2:9" ht="15" x14ac:dyDescent="0.25">
      <c r="B11887"/>
      <c r="C11887"/>
      <c r="D11887"/>
      <c r="E11887"/>
      <c r="F11887"/>
      <c r="G11887" s="20"/>
      <c r="H11887"/>
      <c r="I11887"/>
    </row>
    <row r="11888" spans="2:9" ht="15" x14ac:dyDescent="0.25">
      <c r="B11888"/>
      <c r="C11888"/>
      <c r="D11888"/>
      <c r="E11888"/>
      <c r="F11888"/>
      <c r="G11888" s="20"/>
      <c r="H11888"/>
      <c r="I11888"/>
    </row>
    <row r="11889" spans="2:9" ht="15" x14ac:dyDescent="0.25">
      <c r="B11889"/>
      <c r="C11889"/>
      <c r="D11889"/>
      <c r="E11889"/>
      <c r="F11889"/>
      <c r="G11889" s="20"/>
      <c r="H11889"/>
      <c r="I11889"/>
    </row>
    <row r="11890" spans="2:9" ht="15" x14ac:dyDescent="0.25">
      <c r="B11890"/>
      <c r="C11890"/>
      <c r="D11890"/>
      <c r="E11890"/>
      <c r="F11890"/>
      <c r="G11890" s="20"/>
      <c r="H11890"/>
      <c r="I11890"/>
    </row>
    <row r="11891" spans="2:9" ht="15" x14ac:dyDescent="0.25">
      <c r="B11891"/>
      <c r="C11891"/>
      <c r="D11891"/>
      <c r="E11891"/>
      <c r="F11891"/>
      <c r="G11891" s="20"/>
      <c r="H11891"/>
      <c r="I11891"/>
    </row>
    <row r="11892" spans="2:9" ht="15" x14ac:dyDescent="0.25">
      <c r="B11892"/>
      <c r="C11892"/>
      <c r="D11892"/>
      <c r="E11892"/>
      <c r="F11892"/>
      <c r="G11892" s="20"/>
      <c r="H11892"/>
      <c r="I11892"/>
    </row>
    <row r="11893" spans="2:9" ht="15" x14ac:dyDescent="0.25">
      <c r="B11893"/>
      <c r="C11893"/>
      <c r="D11893"/>
      <c r="E11893"/>
      <c r="F11893"/>
      <c r="G11893" s="20"/>
      <c r="H11893"/>
      <c r="I11893"/>
    </row>
    <row r="11894" spans="2:9" ht="15" x14ac:dyDescent="0.25">
      <c r="B11894"/>
      <c r="C11894"/>
      <c r="D11894"/>
      <c r="E11894"/>
      <c r="F11894"/>
      <c r="G11894" s="20"/>
      <c r="H11894"/>
      <c r="I11894"/>
    </row>
    <row r="11895" spans="2:9" ht="15" x14ac:dyDescent="0.25">
      <c r="B11895"/>
      <c r="C11895"/>
      <c r="D11895"/>
      <c r="E11895"/>
      <c r="F11895"/>
      <c r="G11895" s="20"/>
      <c r="H11895"/>
      <c r="I11895"/>
    </row>
    <row r="11896" spans="2:9" ht="15" x14ac:dyDescent="0.25">
      <c r="B11896"/>
      <c r="C11896"/>
      <c r="D11896"/>
      <c r="E11896"/>
      <c r="F11896"/>
      <c r="G11896" s="20"/>
      <c r="H11896"/>
      <c r="I11896"/>
    </row>
    <row r="11897" spans="2:9" ht="15" x14ac:dyDescent="0.25">
      <c r="B11897"/>
      <c r="C11897"/>
      <c r="D11897"/>
      <c r="E11897"/>
      <c r="F11897"/>
      <c r="G11897" s="20"/>
      <c r="H11897"/>
      <c r="I11897"/>
    </row>
    <row r="11898" spans="2:9" ht="15" x14ac:dyDescent="0.25">
      <c r="B11898"/>
      <c r="C11898"/>
      <c r="D11898"/>
      <c r="E11898"/>
      <c r="F11898"/>
      <c r="G11898" s="20"/>
      <c r="H11898"/>
      <c r="I11898"/>
    </row>
    <row r="11899" spans="2:9" ht="15" x14ac:dyDescent="0.25">
      <c r="B11899"/>
      <c r="C11899"/>
      <c r="D11899"/>
      <c r="E11899"/>
      <c r="F11899"/>
      <c r="G11899" s="20"/>
      <c r="H11899"/>
      <c r="I11899"/>
    </row>
    <row r="11900" spans="2:9" ht="15" x14ac:dyDescent="0.25">
      <c r="B11900"/>
      <c r="C11900"/>
      <c r="D11900"/>
      <c r="E11900"/>
      <c r="F11900"/>
      <c r="G11900" s="20"/>
      <c r="H11900"/>
      <c r="I11900"/>
    </row>
    <row r="11901" spans="2:9" ht="15" x14ac:dyDescent="0.25">
      <c r="B11901"/>
      <c r="C11901"/>
      <c r="D11901"/>
      <c r="E11901"/>
      <c r="F11901"/>
      <c r="G11901" s="20"/>
      <c r="H11901"/>
      <c r="I11901"/>
    </row>
    <row r="11902" spans="2:9" ht="15" x14ac:dyDescent="0.25">
      <c r="B11902"/>
      <c r="C11902"/>
      <c r="D11902"/>
      <c r="E11902"/>
      <c r="F11902"/>
      <c r="G11902" s="20"/>
      <c r="H11902"/>
      <c r="I11902"/>
    </row>
    <row r="11903" spans="2:9" ht="15" x14ac:dyDescent="0.25">
      <c r="B11903"/>
      <c r="C11903"/>
      <c r="D11903"/>
      <c r="E11903"/>
      <c r="F11903"/>
      <c r="G11903" s="20"/>
      <c r="H11903"/>
      <c r="I11903"/>
    </row>
    <row r="11904" spans="2:9" ht="15" x14ac:dyDescent="0.25">
      <c r="B11904"/>
      <c r="C11904"/>
      <c r="D11904"/>
      <c r="E11904"/>
      <c r="F11904"/>
      <c r="G11904" s="20"/>
      <c r="H11904"/>
      <c r="I11904"/>
    </row>
    <row r="11905" spans="2:9" ht="15" x14ac:dyDescent="0.25">
      <c r="B11905"/>
      <c r="C11905"/>
      <c r="D11905"/>
      <c r="E11905"/>
      <c r="F11905"/>
      <c r="G11905" s="20"/>
      <c r="H11905"/>
      <c r="I11905"/>
    </row>
    <row r="11906" spans="2:9" ht="15" x14ac:dyDescent="0.25">
      <c r="B11906"/>
      <c r="C11906"/>
      <c r="D11906"/>
      <c r="E11906"/>
      <c r="F11906"/>
      <c r="G11906" s="20"/>
      <c r="H11906"/>
      <c r="I11906"/>
    </row>
    <row r="11907" spans="2:9" ht="15" x14ac:dyDescent="0.25">
      <c r="B11907"/>
      <c r="C11907"/>
      <c r="D11907"/>
      <c r="E11907"/>
      <c r="F11907"/>
      <c r="G11907" s="20"/>
      <c r="H11907"/>
      <c r="I11907"/>
    </row>
    <row r="11908" spans="2:9" ht="15" x14ac:dyDescent="0.25">
      <c r="B11908"/>
      <c r="C11908"/>
      <c r="D11908"/>
      <c r="E11908"/>
      <c r="F11908"/>
      <c r="G11908" s="20"/>
      <c r="H11908"/>
      <c r="I11908"/>
    </row>
    <row r="11909" spans="2:9" ht="15" x14ac:dyDescent="0.25">
      <c r="B11909"/>
      <c r="C11909"/>
      <c r="D11909"/>
      <c r="E11909"/>
      <c r="F11909"/>
      <c r="G11909" s="20"/>
      <c r="H11909"/>
      <c r="I11909"/>
    </row>
    <row r="11910" spans="2:9" ht="15" x14ac:dyDescent="0.25">
      <c r="B11910"/>
      <c r="C11910"/>
      <c r="D11910"/>
      <c r="E11910"/>
      <c r="F11910"/>
      <c r="G11910" s="20"/>
      <c r="H11910"/>
      <c r="I11910"/>
    </row>
    <row r="11911" spans="2:9" ht="15" x14ac:dyDescent="0.25">
      <c r="B11911"/>
      <c r="C11911"/>
      <c r="D11911"/>
      <c r="E11911"/>
      <c r="F11911"/>
      <c r="G11911" s="20"/>
      <c r="H11911"/>
      <c r="I11911"/>
    </row>
    <row r="11912" spans="2:9" ht="15" x14ac:dyDescent="0.25">
      <c r="B11912"/>
      <c r="C11912"/>
      <c r="D11912"/>
      <c r="E11912"/>
      <c r="F11912"/>
      <c r="G11912" s="20"/>
      <c r="H11912"/>
      <c r="I11912"/>
    </row>
    <row r="11913" spans="2:9" ht="15" x14ac:dyDescent="0.25">
      <c r="B11913"/>
      <c r="C11913"/>
      <c r="D11913"/>
      <c r="E11913"/>
      <c r="F11913"/>
      <c r="G11913" s="20"/>
      <c r="H11913"/>
      <c r="I11913"/>
    </row>
    <row r="11914" spans="2:9" ht="15" x14ac:dyDescent="0.25">
      <c r="B11914"/>
      <c r="C11914"/>
      <c r="D11914"/>
      <c r="E11914"/>
      <c r="F11914"/>
      <c r="G11914" s="20"/>
      <c r="H11914"/>
      <c r="I11914"/>
    </row>
    <row r="11915" spans="2:9" ht="15" x14ac:dyDescent="0.25">
      <c r="B11915"/>
      <c r="C11915"/>
      <c r="D11915"/>
      <c r="E11915"/>
      <c r="F11915"/>
      <c r="G11915" s="20"/>
      <c r="H11915"/>
      <c r="I11915"/>
    </row>
    <row r="11916" spans="2:9" ht="15" x14ac:dyDescent="0.25">
      <c r="B11916"/>
      <c r="C11916"/>
      <c r="D11916"/>
      <c r="E11916"/>
      <c r="F11916"/>
      <c r="G11916" s="20"/>
      <c r="H11916"/>
      <c r="I11916"/>
    </row>
    <row r="11917" spans="2:9" ht="15" x14ac:dyDescent="0.25">
      <c r="B11917"/>
      <c r="C11917"/>
      <c r="D11917"/>
      <c r="E11917"/>
      <c r="F11917"/>
      <c r="G11917" s="20"/>
      <c r="H11917"/>
      <c r="I11917"/>
    </row>
    <row r="11918" spans="2:9" ht="15" x14ac:dyDescent="0.25">
      <c r="B11918"/>
      <c r="C11918"/>
      <c r="D11918"/>
      <c r="E11918"/>
      <c r="F11918"/>
      <c r="G11918" s="20"/>
      <c r="H11918"/>
      <c r="I11918"/>
    </row>
    <row r="11919" spans="2:9" ht="15" x14ac:dyDescent="0.25">
      <c r="B11919"/>
      <c r="C11919"/>
      <c r="D11919"/>
      <c r="E11919"/>
      <c r="F11919"/>
      <c r="G11919" s="20"/>
      <c r="H11919"/>
      <c r="I11919"/>
    </row>
    <row r="11920" spans="2:9" ht="15" x14ac:dyDescent="0.25">
      <c r="B11920"/>
      <c r="C11920"/>
      <c r="D11920"/>
      <c r="E11920"/>
      <c r="F11920"/>
      <c r="G11920" s="20"/>
      <c r="H11920"/>
      <c r="I11920"/>
    </row>
    <row r="11921" spans="2:9" ht="15" x14ac:dyDescent="0.25">
      <c r="B11921"/>
      <c r="C11921"/>
      <c r="D11921"/>
      <c r="E11921"/>
      <c r="F11921"/>
      <c r="G11921" s="20"/>
      <c r="H11921"/>
      <c r="I11921"/>
    </row>
    <row r="11922" spans="2:9" ht="15" x14ac:dyDescent="0.25">
      <c r="B11922"/>
      <c r="C11922"/>
      <c r="D11922"/>
      <c r="E11922"/>
      <c r="F11922"/>
      <c r="G11922" s="20"/>
      <c r="H11922"/>
      <c r="I11922"/>
    </row>
    <row r="11923" spans="2:9" ht="15" x14ac:dyDescent="0.25">
      <c r="B11923"/>
      <c r="C11923"/>
      <c r="D11923"/>
      <c r="E11923"/>
      <c r="F11923"/>
      <c r="G11923" s="20"/>
      <c r="H11923"/>
      <c r="I11923"/>
    </row>
    <row r="11924" spans="2:9" ht="15" x14ac:dyDescent="0.25">
      <c r="B11924"/>
      <c r="C11924"/>
      <c r="D11924"/>
      <c r="E11924"/>
      <c r="F11924"/>
      <c r="G11924" s="20"/>
      <c r="H11924"/>
      <c r="I11924"/>
    </row>
    <row r="11925" spans="2:9" ht="15" x14ac:dyDescent="0.25">
      <c r="B11925"/>
      <c r="C11925"/>
      <c r="D11925"/>
      <c r="E11925"/>
      <c r="F11925"/>
      <c r="G11925" s="20"/>
      <c r="H11925"/>
      <c r="I11925"/>
    </row>
    <row r="11926" spans="2:9" ht="15" x14ac:dyDescent="0.25">
      <c r="B11926"/>
      <c r="C11926"/>
      <c r="D11926"/>
      <c r="E11926"/>
      <c r="F11926"/>
      <c r="G11926" s="20"/>
      <c r="H11926"/>
      <c r="I11926"/>
    </row>
    <row r="11927" spans="2:9" ht="15" x14ac:dyDescent="0.25">
      <c r="B11927"/>
      <c r="C11927"/>
      <c r="D11927"/>
      <c r="E11927"/>
      <c r="F11927"/>
      <c r="G11927" s="20"/>
      <c r="H11927"/>
      <c r="I11927"/>
    </row>
    <row r="11928" spans="2:9" ht="15" x14ac:dyDescent="0.25">
      <c r="B11928"/>
      <c r="C11928"/>
      <c r="D11928"/>
      <c r="E11928"/>
      <c r="F11928"/>
      <c r="G11928" s="20"/>
      <c r="H11928"/>
      <c r="I11928"/>
    </row>
    <row r="11929" spans="2:9" ht="15" x14ac:dyDescent="0.25">
      <c r="B11929"/>
      <c r="C11929"/>
      <c r="D11929"/>
      <c r="E11929"/>
      <c r="F11929"/>
      <c r="G11929" s="20"/>
      <c r="H11929"/>
      <c r="I11929"/>
    </row>
    <row r="11930" spans="2:9" ht="15" x14ac:dyDescent="0.25">
      <c r="B11930"/>
      <c r="C11930"/>
      <c r="D11930"/>
      <c r="E11930"/>
      <c r="F11930"/>
      <c r="G11930" s="20"/>
      <c r="H11930"/>
      <c r="I11930"/>
    </row>
    <row r="11931" spans="2:9" ht="15" x14ac:dyDescent="0.25">
      <c r="B11931"/>
      <c r="C11931"/>
      <c r="D11931"/>
      <c r="E11931"/>
      <c r="F11931"/>
      <c r="G11931" s="20"/>
      <c r="H11931"/>
      <c r="I11931"/>
    </row>
    <row r="11932" spans="2:9" ht="15" x14ac:dyDescent="0.25">
      <c r="B11932"/>
      <c r="C11932"/>
      <c r="D11932"/>
      <c r="E11932"/>
      <c r="F11932"/>
      <c r="G11932" s="20"/>
      <c r="H11932"/>
      <c r="I11932"/>
    </row>
    <row r="11933" spans="2:9" ht="15" x14ac:dyDescent="0.25">
      <c r="B11933"/>
      <c r="C11933"/>
      <c r="D11933"/>
      <c r="E11933"/>
      <c r="F11933"/>
      <c r="G11933" s="20"/>
      <c r="H11933"/>
      <c r="I11933"/>
    </row>
    <row r="11934" spans="2:9" ht="15" x14ac:dyDescent="0.25">
      <c r="B11934"/>
      <c r="C11934"/>
      <c r="D11934"/>
      <c r="E11934"/>
      <c r="F11934"/>
      <c r="G11934" s="20"/>
      <c r="H11934"/>
      <c r="I11934"/>
    </row>
    <row r="11935" spans="2:9" ht="15" x14ac:dyDescent="0.25">
      <c r="B11935"/>
      <c r="C11935"/>
      <c r="D11935"/>
      <c r="E11935"/>
      <c r="F11935"/>
      <c r="G11935" s="20"/>
      <c r="H11935"/>
      <c r="I11935"/>
    </row>
    <row r="11936" spans="2:9" ht="15" x14ac:dyDescent="0.25">
      <c r="B11936"/>
      <c r="C11936"/>
      <c r="D11936"/>
      <c r="E11936"/>
      <c r="F11936"/>
      <c r="G11936" s="20"/>
      <c r="H11936"/>
      <c r="I11936"/>
    </row>
    <row r="11937" spans="2:9" ht="15" x14ac:dyDescent="0.25">
      <c r="B11937"/>
      <c r="C11937"/>
      <c r="D11937"/>
      <c r="E11937"/>
      <c r="F11937"/>
      <c r="G11937" s="20"/>
      <c r="H11937"/>
      <c r="I11937"/>
    </row>
    <row r="11938" spans="2:9" ht="15" x14ac:dyDescent="0.25">
      <c r="B11938"/>
      <c r="C11938"/>
      <c r="D11938"/>
      <c r="E11938"/>
      <c r="F11938"/>
      <c r="G11938" s="20"/>
      <c r="H11938"/>
      <c r="I11938"/>
    </row>
    <row r="11939" spans="2:9" ht="15" x14ac:dyDescent="0.25">
      <c r="B11939"/>
      <c r="C11939"/>
      <c r="D11939"/>
      <c r="E11939"/>
      <c r="F11939"/>
      <c r="G11939" s="20"/>
      <c r="H11939"/>
      <c r="I11939"/>
    </row>
    <row r="11940" spans="2:9" ht="15" x14ac:dyDescent="0.25">
      <c r="B11940"/>
      <c r="C11940"/>
      <c r="D11940"/>
      <c r="E11940"/>
      <c r="F11940"/>
      <c r="G11940" s="20"/>
      <c r="H11940"/>
      <c r="I11940"/>
    </row>
    <row r="11941" spans="2:9" ht="15" x14ac:dyDescent="0.25">
      <c r="B11941"/>
      <c r="C11941"/>
      <c r="D11941"/>
      <c r="E11941"/>
      <c r="F11941"/>
      <c r="G11941" s="20"/>
      <c r="H11941"/>
      <c r="I11941"/>
    </row>
    <row r="11942" spans="2:9" ht="15" x14ac:dyDescent="0.25">
      <c r="B11942"/>
      <c r="C11942"/>
      <c r="D11942"/>
      <c r="E11942"/>
      <c r="F11942"/>
      <c r="G11942" s="20"/>
      <c r="H11942"/>
      <c r="I11942"/>
    </row>
    <row r="11943" spans="2:9" ht="15" x14ac:dyDescent="0.25">
      <c r="B11943"/>
      <c r="C11943"/>
      <c r="D11943"/>
      <c r="E11943"/>
      <c r="F11943"/>
      <c r="G11943" s="20"/>
      <c r="H11943"/>
      <c r="I11943"/>
    </row>
    <row r="11944" spans="2:9" ht="15" x14ac:dyDescent="0.25">
      <c r="B11944"/>
      <c r="C11944"/>
      <c r="D11944"/>
      <c r="E11944"/>
      <c r="F11944"/>
      <c r="G11944" s="20"/>
      <c r="H11944"/>
      <c r="I11944"/>
    </row>
    <row r="11945" spans="2:9" ht="15" x14ac:dyDescent="0.25">
      <c r="B11945"/>
      <c r="C11945"/>
      <c r="D11945"/>
      <c r="E11945"/>
      <c r="F11945"/>
      <c r="G11945" s="20"/>
      <c r="H11945"/>
      <c r="I11945"/>
    </row>
    <row r="11946" spans="2:9" ht="15" x14ac:dyDescent="0.25">
      <c r="B11946"/>
      <c r="C11946"/>
      <c r="D11946"/>
      <c r="E11946"/>
      <c r="F11946"/>
      <c r="G11946" s="20"/>
      <c r="H11946"/>
      <c r="I11946"/>
    </row>
    <row r="11947" spans="2:9" ht="15" x14ac:dyDescent="0.25">
      <c r="B11947"/>
      <c r="C11947"/>
      <c r="D11947"/>
      <c r="E11947"/>
      <c r="F11947"/>
      <c r="G11947" s="20"/>
      <c r="H11947"/>
      <c r="I11947"/>
    </row>
    <row r="11948" spans="2:9" ht="15" x14ac:dyDescent="0.25">
      <c r="B11948"/>
      <c r="C11948"/>
      <c r="D11948"/>
      <c r="E11948"/>
      <c r="F11948"/>
      <c r="G11948" s="20"/>
      <c r="H11948"/>
      <c r="I11948"/>
    </row>
    <row r="11949" spans="2:9" ht="15" x14ac:dyDescent="0.25">
      <c r="B11949"/>
      <c r="C11949"/>
      <c r="D11949"/>
      <c r="E11949"/>
      <c r="F11949"/>
      <c r="G11949" s="20"/>
      <c r="H11949"/>
      <c r="I11949"/>
    </row>
    <row r="11950" spans="2:9" ht="15" x14ac:dyDescent="0.25">
      <c r="B11950"/>
      <c r="C11950"/>
      <c r="D11950"/>
      <c r="E11950"/>
      <c r="F11950"/>
      <c r="G11950" s="20"/>
      <c r="H11950"/>
      <c r="I11950"/>
    </row>
    <row r="11951" spans="2:9" ht="15" x14ac:dyDescent="0.25">
      <c r="B11951"/>
      <c r="C11951"/>
      <c r="D11951"/>
      <c r="E11951"/>
      <c r="F11951"/>
      <c r="G11951" s="20"/>
      <c r="H11951"/>
      <c r="I11951"/>
    </row>
    <row r="11952" spans="2:9" ht="15" x14ac:dyDescent="0.25">
      <c r="B11952"/>
      <c r="C11952"/>
      <c r="D11952"/>
      <c r="E11952"/>
      <c r="F11952"/>
      <c r="G11952" s="20"/>
      <c r="H11952"/>
      <c r="I11952"/>
    </row>
    <row r="11953" spans="2:9" ht="15" x14ac:dyDescent="0.25">
      <c r="B11953"/>
      <c r="C11953"/>
      <c r="D11953"/>
      <c r="E11953"/>
      <c r="F11953"/>
      <c r="G11953" s="20"/>
      <c r="H11953"/>
      <c r="I11953"/>
    </row>
    <row r="11954" spans="2:9" ht="15" x14ac:dyDescent="0.25">
      <c r="B11954"/>
      <c r="C11954"/>
      <c r="D11954"/>
      <c r="E11954"/>
      <c r="F11954"/>
      <c r="G11954" s="20"/>
      <c r="H11954"/>
      <c r="I11954"/>
    </row>
    <row r="11955" spans="2:9" ht="15" x14ac:dyDescent="0.25">
      <c r="B11955"/>
      <c r="C11955"/>
      <c r="D11955"/>
      <c r="E11955"/>
      <c r="F11955"/>
      <c r="G11955" s="20"/>
      <c r="H11955"/>
      <c r="I11955"/>
    </row>
    <row r="11956" spans="2:9" ht="15" x14ac:dyDescent="0.25">
      <c r="B11956"/>
      <c r="C11956"/>
      <c r="D11956"/>
      <c r="E11956"/>
      <c r="F11956"/>
      <c r="G11956" s="20"/>
      <c r="H11956"/>
      <c r="I11956"/>
    </row>
    <row r="11957" spans="2:9" ht="15" x14ac:dyDescent="0.25">
      <c r="B11957"/>
      <c r="C11957"/>
      <c r="D11957"/>
      <c r="E11957"/>
      <c r="F11957"/>
      <c r="G11957" s="20"/>
      <c r="H11957"/>
      <c r="I11957"/>
    </row>
    <row r="11958" spans="2:9" ht="15" x14ac:dyDescent="0.25">
      <c r="B11958"/>
      <c r="C11958"/>
      <c r="D11958"/>
      <c r="E11958"/>
      <c r="F11958"/>
      <c r="G11958" s="20"/>
      <c r="H11958"/>
      <c r="I11958"/>
    </row>
    <row r="11959" spans="2:9" ht="15" x14ac:dyDescent="0.25">
      <c r="B11959"/>
      <c r="C11959"/>
      <c r="D11959"/>
      <c r="E11959"/>
      <c r="F11959"/>
      <c r="G11959" s="20"/>
      <c r="H11959"/>
      <c r="I11959"/>
    </row>
    <row r="11960" spans="2:9" ht="15" x14ac:dyDescent="0.25">
      <c r="B11960"/>
      <c r="C11960"/>
      <c r="D11960"/>
      <c r="E11960"/>
      <c r="F11960"/>
      <c r="G11960" s="20"/>
      <c r="H11960"/>
      <c r="I11960"/>
    </row>
    <row r="11961" spans="2:9" ht="15" x14ac:dyDescent="0.25">
      <c r="B11961"/>
      <c r="C11961"/>
      <c r="D11961"/>
      <c r="E11961"/>
      <c r="F11961"/>
      <c r="G11961" s="20"/>
      <c r="H11961"/>
      <c r="I11961"/>
    </row>
    <row r="11962" spans="2:9" ht="15" x14ac:dyDescent="0.25">
      <c r="B11962"/>
      <c r="C11962"/>
      <c r="D11962"/>
      <c r="E11962"/>
      <c r="F11962"/>
      <c r="G11962" s="20"/>
      <c r="H11962"/>
      <c r="I11962"/>
    </row>
    <row r="11963" spans="2:9" ht="15" x14ac:dyDescent="0.25">
      <c r="B11963"/>
      <c r="C11963"/>
      <c r="D11963"/>
      <c r="E11963"/>
      <c r="F11963"/>
      <c r="G11963" s="20"/>
      <c r="H11963"/>
      <c r="I11963"/>
    </row>
    <row r="11964" spans="2:9" ht="15" x14ac:dyDescent="0.25">
      <c r="B11964"/>
      <c r="C11964"/>
      <c r="D11964"/>
      <c r="E11964"/>
      <c r="F11964"/>
      <c r="G11964" s="20"/>
      <c r="H11964"/>
      <c r="I11964"/>
    </row>
    <row r="11965" spans="2:9" ht="15" x14ac:dyDescent="0.25">
      <c r="B11965"/>
      <c r="C11965"/>
      <c r="D11965"/>
      <c r="E11965"/>
      <c r="F11965"/>
      <c r="G11965" s="20"/>
      <c r="H11965"/>
      <c r="I11965"/>
    </row>
    <row r="11966" spans="2:9" ht="15" x14ac:dyDescent="0.25">
      <c r="B11966"/>
      <c r="C11966"/>
      <c r="D11966"/>
      <c r="E11966"/>
      <c r="F11966"/>
      <c r="G11966" s="20"/>
      <c r="H11966"/>
      <c r="I11966"/>
    </row>
    <row r="11967" spans="2:9" ht="15" x14ac:dyDescent="0.25">
      <c r="B11967"/>
      <c r="C11967"/>
      <c r="D11967"/>
      <c r="E11967"/>
      <c r="F11967"/>
      <c r="G11967" s="20"/>
      <c r="H11967"/>
      <c r="I11967"/>
    </row>
    <row r="11968" spans="2:9" ht="15" x14ac:dyDescent="0.25">
      <c r="B11968"/>
      <c r="C11968"/>
      <c r="D11968"/>
      <c r="E11968"/>
      <c r="F11968"/>
      <c r="G11968" s="20"/>
      <c r="H11968"/>
      <c r="I11968"/>
    </row>
    <row r="11969" spans="2:9" ht="15" x14ac:dyDescent="0.25">
      <c r="B11969"/>
      <c r="C11969"/>
      <c r="D11969"/>
      <c r="E11969"/>
      <c r="F11969"/>
      <c r="G11969" s="20"/>
      <c r="H11969"/>
      <c r="I11969"/>
    </row>
    <row r="11970" spans="2:9" ht="15" x14ac:dyDescent="0.25">
      <c r="B11970"/>
      <c r="C11970"/>
      <c r="D11970"/>
      <c r="E11970"/>
      <c r="F11970"/>
      <c r="G11970" s="20"/>
      <c r="H11970"/>
      <c r="I11970"/>
    </row>
    <row r="11971" spans="2:9" ht="15" x14ac:dyDescent="0.25">
      <c r="B11971"/>
      <c r="C11971"/>
      <c r="D11971"/>
      <c r="E11971"/>
      <c r="F11971"/>
      <c r="G11971" s="20"/>
      <c r="H11971"/>
      <c r="I11971"/>
    </row>
    <row r="11972" spans="2:9" ht="15" x14ac:dyDescent="0.25">
      <c r="B11972"/>
      <c r="C11972"/>
      <c r="D11972"/>
      <c r="E11972"/>
      <c r="F11972"/>
      <c r="G11972" s="20"/>
      <c r="H11972"/>
      <c r="I11972"/>
    </row>
    <row r="11973" spans="2:9" ht="15" x14ac:dyDescent="0.25">
      <c r="B11973"/>
      <c r="C11973"/>
      <c r="D11973"/>
      <c r="E11973"/>
      <c r="F11973"/>
      <c r="G11973" s="20"/>
      <c r="H11973"/>
      <c r="I11973"/>
    </row>
    <row r="11974" spans="2:9" ht="15" x14ac:dyDescent="0.25">
      <c r="B11974"/>
      <c r="C11974"/>
      <c r="D11974"/>
      <c r="E11974"/>
      <c r="F11974"/>
      <c r="G11974" s="20"/>
      <c r="H11974"/>
      <c r="I11974"/>
    </row>
    <row r="11975" spans="2:9" ht="15" x14ac:dyDescent="0.25">
      <c r="B11975"/>
      <c r="C11975"/>
      <c r="D11975"/>
      <c r="E11975"/>
      <c r="F11975"/>
      <c r="G11975" s="20"/>
      <c r="H11975"/>
      <c r="I11975"/>
    </row>
    <row r="11976" spans="2:9" ht="15" x14ac:dyDescent="0.25">
      <c r="B11976"/>
      <c r="C11976"/>
      <c r="D11976"/>
      <c r="E11976"/>
      <c r="F11976"/>
      <c r="G11976" s="20"/>
      <c r="H11976"/>
      <c r="I11976"/>
    </row>
    <row r="11977" spans="2:9" ht="15" x14ac:dyDescent="0.25">
      <c r="B11977"/>
      <c r="C11977"/>
      <c r="D11977"/>
      <c r="E11977"/>
      <c r="F11977"/>
      <c r="G11977" s="20"/>
      <c r="H11977"/>
      <c r="I11977"/>
    </row>
    <row r="11978" spans="2:9" ht="15" x14ac:dyDescent="0.25">
      <c r="B11978"/>
      <c r="C11978"/>
      <c r="D11978"/>
      <c r="E11978"/>
      <c r="F11978"/>
      <c r="G11978" s="20"/>
      <c r="H11978"/>
      <c r="I11978"/>
    </row>
    <row r="11979" spans="2:9" ht="15" x14ac:dyDescent="0.25">
      <c r="B11979"/>
      <c r="C11979"/>
      <c r="D11979"/>
      <c r="E11979"/>
      <c r="F11979"/>
      <c r="G11979" s="20"/>
      <c r="H11979"/>
      <c r="I11979"/>
    </row>
    <row r="11980" spans="2:9" ht="15" x14ac:dyDescent="0.25">
      <c r="B11980"/>
      <c r="C11980"/>
      <c r="D11980"/>
      <c r="E11980"/>
      <c r="F11980"/>
      <c r="G11980" s="20"/>
      <c r="H11980"/>
      <c r="I11980"/>
    </row>
    <row r="11981" spans="2:9" ht="15" x14ac:dyDescent="0.25">
      <c r="B11981"/>
      <c r="C11981"/>
      <c r="D11981"/>
      <c r="E11981"/>
      <c r="F11981"/>
      <c r="G11981" s="20"/>
      <c r="H11981"/>
      <c r="I11981"/>
    </row>
    <row r="11982" spans="2:9" ht="15" x14ac:dyDescent="0.25">
      <c r="B11982"/>
      <c r="C11982"/>
      <c r="D11982"/>
      <c r="E11982"/>
      <c r="F11982"/>
      <c r="G11982" s="20"/>
      <c r="H11982"/>
      <c r="I11982"/>
    </row>
    <row r="11983" spans="2:9" ht="15" x14ac:dyDescent="0.25">
      <c r="B11983"/>
      <c r="C11983"/>
      <c r="D11983"/>
      <c r="E11983"/>
      <c r="F11983"/>
      <c r="G11983" s="20"/>
      <c r="H11983"/>
      <c r="I11983"/>
    </row>
    <row r="11984" spans="2:9" ht="15" x14ac:dyDescent="0.25">
      <c r="B11984"/>
      <c r="C11984"/>
      <c r="D11984"/>
      <c r="E11984"/>
      <c r="F11984"/>
      <c r="G11984" s="20"/>
      <c r="H11984"/>
      <c r="I11984"/>
    </row>
    <row r="11985" spans="2:9" ht="15" x14ac:dyDescent="0.25">
      <c r="B11985"/>
      <c r="C11985"/>
      <c r="D11985"/>
      <c r="E11985"/>
      <c r="F11985"/>
      <c r="G11985" s="20"/>
      <c r="H11985"/>
      <c r="I11985"/>
    </row>
    <row r="11986" spans="2:9" ht="15" x14ac:dyDescent="0.25">
      <c r="B11986"/>
      <c r="C11986"/>
      <c r="D11986"/>
      <c r="E11986"/>
      <c r="F11986"/>
      <c r="G11986" s="20"/>
      <c r="H11986"/>
      <c r="I11986"/>
    </row>
    <row r="11987" spans="2:9" ht="15" x14ac:dyDescent="0.25">
      <c r="B11987"/>
      <c r="C11987"/>
      <c r="D11987"/>
      <c r="E11987"/>
      <c r="F11987"/>
      <c r="G11987" s="20"/>
      <c r="H11987"/>
      <c r="I11987"/>
    </row>
    <row r="11988" spans="2:9" ht="15" x14ac:dyDescent="0.25">
      <c r="B11988"/>
      <c r="C11988"/>
      <c r="D11988"/>
      <c r="E11988"/>
      <c r="F11988"/>
      <c r="G11988" s="20"/>
      <c r="H11988"/>
      <c r="I11988"/>
    </row>
    <row r="11989" spans="2:9" ht="15" x14ac:dyDescent="0.25">
      <c r="B11989"/>
      <c r="C11989"/>
      <c r="D11989"/>
      <c r="E11989"/>
      <c r="F11989"/>
      <c r="G11989" s="20"/>
      <c r="H11989"/>
      <c r="I11989"/>
    </row>
    <row r="11990" spans="2:9" ht="15" x14ac:dyDescent="0.25">
      <c r="B11990"/>
      <c r="C11990"/>
      <c r="D11990"/>
      <c r="E11990"/>
      <c r="F11990"/>
      <c r="G11990" s="20"/>
      <c r="H11990"/>
      <c r="I11990"/>
    </row>
    <row r="11991" spans="2:9" ht="15" x14ac:dyDescent="0.25">
      <c r="B11991"/>
      <c r="C11991"/>
      <c r="D11991"/>
      <c r="E11991"/>
      <c r="F11991"/>
      <c r="G11991" s="20"/>
      <c r="H11991"/>
      <c r="I11991"/>
    </row>
    <row r="11992" spans="2:9" ht="15" x14ac:dyDescent="0.25">
      <c r="B11992"/>
      <c r="C11992"/>
      <c r="D11992"/>
      <c r="E11992"/>
      <c r="F11992"/>
      <c r="G11992" s="20"/>
      <c r="H11992"/>
      <c r="I11992"/>
    </row>
    <row r="11993" spans="2:9" ht="15" x14ac:dyDescent="0.25">
      <c r="B11993"/>
      <c r="C11993"/>
      <c r="D11993"/>
      <c r="E11993"/>
      <c r="F11993"/>
      <c r="G11993" s="20"/>
      <c r="H11993"/>
      <c r="I11993"/>
    </row>
    <row r="11994" spans="2:9" ht="15" x14ac:dyDescent="0.25">
      <c r="B11994"/>
      <c r="C11994"/>
      <c r="D11994"/>
      <c r="E11994"/>
      <c r="F11994"/>
      <c r="G11994" s="20"/>
      <c r="H11994"/>
      <c r="I11994"/>
    </row>
    <row r="11995" spans="2:9" ht="15" x14ac:dyDescent="0.25">
      <c r="B11995"/>
      <c r="C11995"/>
      <c r="D11995"/>
      <c r="E11995"/>
      <c r="F11995"/>
      <c r="G11995" s="20"/>
      <c r="H11995"/>
      <c r="I11995"/>
    </row>
    <row r="11996" spans="2:9" ht="15" x14ac:dyDescent="0.25">
      <c r="B11996"/>
      <c r="C11996"/>
      <c r="D11996"/>
      <c r="E11996"/>
      <c r="F11996"/>
      <c r="G11996" s="20"/>
      <c r="H11996"/>
      <c r="I11996"/>
    </row>
    <row r="11997" spans="2:9" ht="15" x14ac:dyDescent="0.25">
      <c r="B11997"/>
      <c r="C11997"/>
      <c r="D11997"/>
      <c r="E11997"/>
      <c r="F11997"/>
      <c r="G11997" s="20"/>
      <c r="H11997"/>
      <c r="I11997"/>
    </row>
    <row r="11998" spans="2:9" ht="15" x14ac:dyDescent="0.25">
      <c r="B11998"/>
      <c r="C11998"/>
      <c r="D11998"/>
      <c r="E11998"/>
      <c r="F11998"/>
      <c r="G11998" s="20"/>
      <c r="H11998"/>
      <c r="I11998"/>
    </row>
    <row r="11999" spans="2:9" ht="15" x14ac:dyDescent="0.25">
      <c r="B11999"/>
      <c r="C11999"/>
      <c r="D11999"/>
      <c r="E11999"/>
      <c r="F11999"/>
      <c r="G11999" s="20"/>
      <c r="H11999"/>
      <c r="I11999"/>
    </row>
    <row r="12000" spans="2:9" ht="15" x14ac:dyDescent="0.25">
      <c r="B12000"/>
      <c r="C12000"/>
      <c r="D12000"/>
      <c r="E12000"/>
      <c r="F12000"/>
      <c r="G12000" s="20"/>
      <c r="H12000"/>
      <c r="I12000"/>
    </row>
    <row r="12001" spans="2:9" ht="15" x14ac:dyDescent="0.25">
      <c r="B12001"/>
      <c r="C12001"/>
      <c r="D12001"/>
      <c r="E12001"/>
      <c r="F12001"/>
      <c r="G12001" s="20"/>
      <c r="H12001"/>
      <c r="I12001"/>
    </row>
    <row r="12002" spans="2:9" ht="15" x14ac:dyDescent="0.25">
      <c r="B12002"/>
      <c r="C12002"/>
      <c r="D12002"/>
      <c r="E12002"/>
      <c r="F12002"/>
      <c r="G12002" s="20"/>
      <c r="H12002"/>
      <c r="I12002"/>
    </row>
    <row r="12003" spans="2:9" ht="15" x14ac:dyDescent="0.25">
      <c r="B12003"/>
      <c r="C12003"/>
      <c r="D12003"/>
      <c r="E12003"/>
      <c r="F12003"/>
      <c r="G12003" s="20"/>
      <c r="H12003"/>
      <c r="I12003"/>
    </row>
    <row r="12004" spans="2:9" ht="15" x14ac:dyDescent="0.25">
      <c r="B12004"/>
      <c r="C12004"/>
      <c r="D12004"/>
      <c r="E12004"/>
      <c r="F12004"/>
      <c r="G12004" s="20"/>
      <c r="H12004"/>
      <c r="I12004"/>
    </row>
    <row r="12005" spans="2:9" ht="15" x14ac:dyDescent="0.25">
      <c r="B12005"/>
      <c r="C12005"/>
      <c r="D12005"/>
      <c r="E12005"/>
      <c r="F12005"/>
      <c r="G12005" s="20"/>
      <c r="H12005"/>
      <c r="I12005"/>
    </row>
    <row r="12006" spans="2:9" ht="15" x14ac:dyDescent="0.25">
      <c r="B12006"/>
      <c r="C12006"/>
      <c r="D12006"/>
      <c r="E12006"/>
      <c r="F12006"/>
      <c r="G12006" s="20"/>
      <c r="H12006"/>
      <c r="I12006"/>
    </row>
    <row r="12007" spans="2:9" ht="15" x14ac:dyDescent="0.25">
      <c r="B12007"/>
      <c r="C12007"/>
      <c r="D12007"/>
      <c r="E12007"/>
      <c r="F12007"/>
      <c r="G12007" s="20"/>
      <c r="H12007"/>
      <c r="I12007"/>
    </row>
    <row r="12008" spans="2:9" ht="15" x14ac:dyDescent="0.25">
      <c r="B12008"/>
      <c r="C12008"/>
      <c r="D12008"/>
      <c r="E12008"/>
      <c r="F12008"/>
      <c r="G12008" s="20"/>
      <c r="H12008"/>
      <c r="I12008"/>
    </row>
    <row r="12009" spans="2:9" ht="15" x14ac:dyDescent="0.25">
      <c r="B12009"/>
      <c r="C12009"/>
      <c r="D12009"/>
      <c r="E12009"/>
      <c r="F12009"/>
      <c r="G12009" s="20"/>
      <c r="H12009"/>
      <c r="I12009"/>
    </row>
    <row r="12010" spans="2:9" ht="15" x14ac:dyDescent="0.25">
      <c r="B12010"/>
      <c r="C12010"/>
      <c r="D12010"/>
      <c r="E12010"/>
      <c r="F12010"/>
      <c r="G12010" s="20"/>
      <c r="H12010"/>
      <c r="I12010"/>
    </row>
    <row r="12011" spans="2:9" ht="15" x14ac:dyDescent="0.25">
      <c r="B12011"/>
      <c r="C12011"/>
      <c r="D12011"/>
      <c r="E12011"/>
      <c r="F12011"/>
      <c r="G12011" s="20"/>
      <c r="H12011"/>
      <c r="I12011"/>
    </row>
    <row r="12012" spans="2:9" ht="15" x14ac:dyDescent="0.25">
      <c r="B12012"/>
      <c r="C12012"/>
      <c r="D12012"/>
      <c r="E12012"/>
      <c r="F12012"/>
      <c r="G12012" s="20"/>
      <c r="H12012"/>
      <c r="I12012"/>
    </row>
    <row r="12013" spans="2:9" ht="15" x14ac:dyDescent="0.25">
      <c r="B12013"/>
      <c r="C12013"/>
      <c r="D12013"/>
      <c r="E12013"/>
      <c r="F12013"/>
      <c r="G12013" s="20"/>
      <c r="H12013"/>
      <c r="I12013"/>
    </row>
    <row r="12014" spans="2:9" ht="15" x14ac:dyDescent="0.25">
      <c r="B12014"/>
      <c r="C12014"/>
      <c r="D12014"/>
      <c r="E12014"/>
      <c r="F12014"/>
      <c r="G12014" s="20"/>
      <c r="H12014"/>
      <c r="I12014"/>
    </row>
    <row r="12015" spans="2:9" ht="15" x14ac:dyDescent="0.25">
      <c r="B12015"/>
      <c r="C12015"/>
      <c r="D12015"/>
      <c r="E12015"/>
      <c r="F12015"/>
      <c r="G12015" s="20"/>
      <c r="H12015"/>
      <c r="I12015"/>
    </row>
    <row r="12016" spans="2:9" ht="15" x14ac:dyDescent="0.25">
      <c r="B12016"/>
      <c r="C12016"/>
      <c r="D12016"/>
      <c r="E12016"/>
      <c r="F12016"/>
      <c r="G12016" s="20"/>
      <c r="H12016"/>
      <c r="I12016"/>
    </row>
    <row r="12017" spans="2:9" ht="15" x14ac:dyDescent="0.25">
      <c r="B12017"/>
      <c r="C12017"/>
      <c r="D12017"/>
      <c r="E12017"/>
      <c r="F12017"/>
      <c r="G12017" s="20"/>
      <c r="H12017"/>
      <c r="I12017"/>
    </row>
    <row r="12018" spans="2:9" ht="15" x14ac:dyDescent="0.25">
      <c r="B12018"/>
      <c r="C12018"/>
      <c r="D12018"/>
      <c r="E12018"/>
      <c r="F12018"/>
      <c r="G12018" s="20"/>
      <c r="H12018"/>
      <c r="I12018"/>
    </row>
    <row r="12019" spans="2:9" ht="15" x14ac:dyDescent="0.25">
      <c r="B12019"/>
      <c r="C12019"/>
      <c r="D12019"/>
      <c r="E12019"/>
      <c r="F12019"/>
      <c r="G12019" s="20"/>
      <c r="H12019"/>
      <c r="I12019"/>
    </row>
    <row r="12020" spans="2:9" ht="15" x14ac:dyDescent="0.25">
      <c r="B12020"/>
      <c r="C12020"/>
      <c r="D12020"/>
      <c r="E12020"/>
      <c r="F12020"/>
      <c r="G12020" s="20"/>
      <c r="H12020"/>
      <c r="I12020"/>
    </row>
    <row r="12021" spans="2:9" ht="15" x14ac:dyDescent="0.25">
      <c r="B12021"/>
      <c r="C12021"/>
      <c r="D12021"/>
      <c r="E12021"/>
      <c r="F12021"/>
      <c r="G12021" s="20"/>
      <c r="H12021"/>
      <c r="I12021"/>
    </row>
    <row r="12022" spans="2:9" ht="15" x14ac:dyDescent="0.25">
      <c r="B12022"/>
      <c r="C12022"/>
      <c r="D12022"/>
      <c r="E12022"/>
      <c r="F12022"/>
      <c r="G12022" s="20"/>
      <c r="H12022"/>
      <c r="I12022"/>
    </row>
    <row r="12023" spans="2:9" ht="15" x14ac:dyDescent="0.25">
      <c r="B12023"/>
      <c r="C12023"/>
      <c r="D12023"/>
      <c r="E12023"/>
      <c r="F12023"/>
      <c r="G12023" s="20"/>
      <c r="H12023"/>
      <c r="I12023"/>
    </row>
    <row r="12024" spans="2:9" ht="15" x14ac:dyDescent="0.25">
      <c r="B12024"/>
      <c r="C12024"/>
      <c r="D12024"/>
      <c r="E12024"/>
      <c r="F12024"/>
      <c r="G12024" s="20"/>
      <c r="H12024"/>
      <c r="I12024"/>
    </row>
    <row r="12025" spans="2:9" ht="15" x14ac:dyDescent="0.25">
      <c r="B12025"/>
      <c r="C12025"/>
      <c r="D12025"/>
      <c r="E12025"/>
      <c r="F12025"/>
      <c r="G12025" s="20"/>
      <c r="H12025"/>
      <c r="I12025"/>
    </row>
    <row r="12026" spans="2:9" ht="15" x14ac:dyDescent="0.25">
      <c r="B12026"/>
      <c r="C12026"/>
      <c r="D12026"/>
      <c r="E12026"/>
      <c r="F12026"/>
      <c r="G12026" s="20"/>
      <c r="H12026"/>
      <c r="I12026"/>
    </row>
    <row r="12027" spans="2:9" ht="15" x14ac:dyDescent="0.25">
      <c r="B12027"/>
      <c r="C12027"/>
      <c r="D12027"/>
      <c r="E12027"/>
      <c r="F12027"/>
      <c r="G12027" s="20"/>
      <c r="H12027"/>
      <c r="I12027"/>
    </row>
    <row r="12028" spans="2:9" ht="15" x14ac:dyDescent="0.25">
      <c r="B12028"/>
      <c r="C12028"/>
      <c r="D12028"/>
      <c r="E12028"/>
      <c r="F12028"/>
      <c r="G12028" s="20"/>
      <c r="H12028"/>
      <c r="I12028"/>
    </row>
    <row r="12029" spans="2:9" ht="15" x14ac:dyDescent="0.25">
      <c r="B12029"/>
      <c r="C12029"/>
      <c r="D12029"/>
      <c r="E12029"/>
      <c r="F12029"/>
      <c r="G12029" s="20"/>
      <c r="H12029"/>
      <c r="I12029"/>
    </row>
    <row r="12030" spans="2:9" ht="15" x14ac:dyDescent="0.25">
      <c r="B12030"/>
      <c r="C12030"/>
      <c r="D12030"/>
      <c r="E12030"/>
      <c r="F12030"/>
      <c r="G12030" s="20"/>
      <c r="H12030"/>
      <c r="I12030"/>
    </row>
    <row r="12031" spans="2:9" ht="15" x14ac:dyDescent="0.25">
      <c r="B12031"/>
      <c r="C12031"/>
      <c r="D12031"/>
      <c r="E12031"/>
      <c r="F12031"/>
      <c r="G12031" s="20"/>
      <c r="H12031"/>
      <c r="I12031"/>
    </row>
    <row r="12032" spans="2:9" ht="15" x14ac:dyDescent="0.25">
      <c r="B12032"/>
      <c r="C12032"/>
      <c r="D12032"/>
      <c r="E12032"/>
      <c r="F12032"/>
      <c r="G12032" s="20"/>
      <c r="H12032"/>
      <c r="I12032"/>
    </row>
    <row r="12033" spans="2:9" ht="15" x14ac:dyDescent="0.25">
      <c r="B12033"/>
      <c r="C12033"/>
      <c r="D12033"/>
      <c r="E12033"/>
      <c r="F12033"/>
      <c r="G12033" s="20"/>
      <c r="H12033"/>
      <c r="I12033"/>
    </row>
    <row r="12034" spans="2:9" ht="15" x14ac:dyDescent="0.25">
      <c r="B12034"/>
      <c r="C12034"/>
      <c r="D12034"/>
      <c r="E12034"/>
      <c r="F12034"/>
      <c r="G12034" s="20"/>
      <c r="H12034"/>
      <c r="I12034"/>
    </row>
    <row r="12035" spans="2:9" ht="15" x14ac:dyDescent="0.25">
      <c r="B12035"/>
      <c r="C12035"/>
      <c r="D12035"/>
      <c r="E12035"/>
      <c r="F12035"/>
      <c r="G12035" s="20"/>
      <c r="H12035"/>
      <c r="I12035"/>
    </row>
    <row r="12036" spans="2:9" ht="15" x14ac:dyDescent="0.25">
      <c r="B12036"/>
      <c r="C12036"/>
      <c r="D12036"/>
      <c r="E12036"/>
      <c r="F12036"/>
      <c r="G12036" s="20"/>
      <c r="H12036"/>
      <c r="I12036"/>
    </row>
    <row r="12037" spans="2:9" ht="15" x14ac:dyDescent="0.25">
      <c r="B12037"/>
      <c r="C12037"/>
      <c r="D12037"/>
      <c r="E12037"/>
      <c r="F12037"/>
      <c r="G12037" s="20"/>
      <c r="H12037"/>
      <c r="I12037"/>
    </row>
    <row r="12038" spans="2:9" ht="15" x14ac:dyDescent="0.25">
      <c r="B12038"/>
      <c r="C12038"/>
      <c r="D12038"/>
      <c r="E12038"/>
      <c r="F12038"/>
      <c r="G12038" s="20"/>
      <c r="H12038"/>
      <c r="I12038"/>
    </row>
    <row r="12039" spans="2:9" ht="15" x14ac:dyDescent="0.25">
      <c r="B12039"/>
      <c r="C12039"/>
      <c r="D12039"/>
      <c r="E12039"/>
      <c r="F12039"/>
      <c r="G12039" s="20"/>
      <c r="H12039"/>
      <c r="I12039"/>
    </row>
    <row r="12040" spans="2:9" ht="15" x14ac:dyDescent="0.25">
      <c r="B12040"/>
      <c r="C12040"/>
      <c r="D12040"/>
      <c r="E12040"/>
      <c r="F12040"/>
      <c r="G12040" s="20"/>
      <c r="H12040"/>
      <c r="I12040"/>
    </row>
    <row r="12041" spans="2:9" ht="15" x14ac:dyDescent="0.25">
      <c r="B12041"/>
      <c r="C12041"/>
      <c r="D12041"/>
      <c r="E12041"/>
      <c r="F12041"/>
      <c r="G12041" s="20"/>
      <c r="H12041"/>
      <c r="I12041"/>
    </row>
    <row r="12042" spans="2:9" ht="15" x14ac:dyDescent="0.25">
      <c r="B12042"/>
      <c r="C12042"/>
      <c r="D12042"/>
      <c r="E12042"/>
      <c r="F12042"/>
      <c r="G12042" s="20"/>
      <c r="H12042"/>
      <c r="I12042"/>
    </row>
    <row r="12043" spans="2:9" ht="15" x14ac:dyDescent="0.25">
      <c r="B12043"/>
      <c r="C12043"/>
      <c r="D12043"/>
      <c r="E12043"/>
      <c r="F12043"/>
      <c r="G12043" s="20"/>
      <c r="H12043"/>
      <c r="I12043"/>
    </row>
    <row r="12044" spans="2:9" ht="15" x14ac:dyDescent="0.25">
      <c r="B12044"/>
      <c r="C12044"/>
      <c r="D12044"/>
      <c r="E12044"/>
      <c r="F12044"/>
      <c r="G12044" s="20"/>
      <c r="H12044"/>
      <c r="I12044"/>
    </row>
    <row r="12045" spans="2:9" ht="15" x14ac:dyDescent="0.25">
      <c r="B12045"/>
      <c r="C12045"/>
      <c r="D12045"/>
      <c r="E12045"/>
      <c r="F12045"/>
      <c r="G12045" s="20"/>
      <c r="H12045"/>
      <c r="I12045"/>
    </row>
    <row r="12046" spans="2:9" ht="15" x14ac:dyDescent="0.25">
      <c r="B12046"/>
      <c r="C12046"/>
      <c r="D12046"/>
      <c r="E12046"/>
      <c r="F12046"/>
      <c r="G12046" s="20"/>
      <c r="H12046"/>
      <c r="I12046"/>
    </row>
    <row r="12047" spans="2:9" ht="15" x14ac:dyDescent="0.25">
      <c r="B12047"/>
      <c r="C12047"/>
      <c r="D12047"/>
      <c r="E12047"/>
      <c r="F12047"/>
      <c r="G12047" s="20"/>
      <c r="H12047"/>
      <c r="I12047"/>
    </row>
    <row r="12048" spans="2:9" ht="15" x14ac:dyDescent="0.25">
      <c r="B12048"/>
      <c r="C12048"/>
      <c r="D12048"/>
      <c r="E12048"/>
      <c r="F12048"/>
      <c r="G12048" s="20"/>
      <c r="H12048"/>
      <c r="I12048"/>
    </row>
    <row r="12049" spans="2:9" ht="15" x14ac:dyDescent="0.25">
      <c r="B12049"/>
      <c r="C12049"/>
      <c r="D12049"/>
      <c r="E12049"/>
      <c r="F12049"/>
      <c r="G12049" s="20"/>
      <c r="H12049"/>
      <c r="I12049"/>
    </row>
    <row r="12050" spans="2:9" ht="15" x14ac:dyDescent="0.25">
      <c r="B12050"/>
      <c r="C12050"/>
      <c r="D12050"/>
      <c r="E12050"/>
      <c r="F12050"/>
      <c r="G12050" s="20"/>
      <c r="H12050"/>
      <c r="I12050"/>
    </row>
    <row r="12051" spans="2:9" ht="15" x14ac:dyDescent="0.25">
      <c r="B12051"/>
      <c r="C12051"/>
      <c r="D12051"/>
      <c r="E12051"/>
      <c r="F12051"/>
      <c r="G12051" s="20"/>
      <c r="H12051"/>
      <c r="I12051"/>
    </row>
    <row r="12052" spans="2:9" ht="15" x14ac:dyDescent="0.25">
      <c r="B12052"/>
      <c r="C12052"/>
      <c r="D12052"/>
      <c r="E12052"/>
      <c r="F12052"/>
      <c r="G12052" s="20"/>
      <c r="H12052"/>
      <c r="I12052"/>
    </row>
    <row r="12053" spans="2:9" ht="15" x14ac:dyDescent="0.25">
      <c r="B12053"/>
      <c r="C12053"/>
      <c r="D12053"/>
      <c r="E12053"/>
      <c r="F12053"/>
      <c r="G12053" s="20"/>
      <c r="H12053"/>
      <c r="I12053"/>
    </row>
    <row r="12054" spans="2:9" ht="15" x14ac:dyDescent="0.25">
      <c r="B12054"/>
      <c r="C12054"/>
      <c r="D12054"/>
      <c r="E12054"/>
      <c r="F12054"/>
      <c r="G12054" s="20"/>
      <c r="H12054"/>
      <c r="I12054"/>
    </row>
    <row r="12055" spans="2:9" ht="15" x14ac:dyDescent="0.25">
      <c r="B12055"/>
      <c r="C12055"/>
      <c r="D12055"/>
      <c r="E12055"/>
      <c r="F12055"/>
      <c r="G12055" s="20"/>
      <c r="H12055"/>
      <c r="I12055"/>
    </row>
    <row r="12056" spans="2:9" ht="15" x14ac:dyDescent="0.25">
      <c r="B12056"/>
      <c r="C12056"/>
      <c r="D12056"/>
      <c r="E12056"/>
      <c r="F12056"/>
      <c r="G12056" s="20"/>
      <c r="H12056"/>
      <c r="I12056"/>
    </row>
    <row r="12057" spans="2:9" ht="15" x14ac:dyDescent="0.25">
      <c r="B12057"/>
      <c r="C12057"/>
      <c r="D12057"/>
      <c r="E12057"/>
      <c r="F12057"/>
      <c r="G12057" s="20"/>
      <c r="H12057"/>
      <c r="I12057"/>
    </row>
    <row r="12058" spans="2:9" ht="15" x14ac:dyDescent="0.25">
      <c r="B12058"/>
      <c r="C12058"/>
      <c r="D12058"/>
      <c r="E12058"/>
      <c r="F12058"/>
      <c r="G12058" s="20"/>
      <c r="H12058"/>
      <c r="I12058"/>
    </row>
    <row r="12059" spans="2:9" ht="15" x14ac:dyDescent="0.25">
      <c r="B12059"/>
      <c r="C12059"/>
      <c r="D12059"/>
      <c r="E12059"/>
      <c r="F12059"/>
      <c r="G12059" s="20"/>
      <c r="H12059"/>
      <c r="I12059"/>
    </row>
    <row r="12060" spans="2:9" ht="15" x14ac:dyDescent="0.25">
      <c r="B12060"/>
      <c r="C12060"/>
      <c r="D12060"/>
      <c r="E12060"/>
      <c r="F12060"/>
      <c r="G12060" s="20"/>
      <c r="H12060"/>
      <c r="I12060"/>
    </row>
    <row r="12061" spans="2:9" ht="15" x14ac:dyDescent="0.25">
      <c r="B12061"/>
      <c r="C12061"/>
      <c r="D12061"/>
      <c r="E12061"/>
      <c r="F12061"/>
      <c r="G12061" s="20"/>
      <c r="H12061"/>
      <c r="I12061"/>
    </row>
    <row r="12062" spans="2:9" ht="15" x14ac:dyDescent="0.25">
      <c r="B12062"/>
      <c r="C12062"/>
      <c r="D12062"/>
      <c r="E12062"/>
      <c r="F12062"/>
      <c r="G12062" s="20"/>
      <c r="H12062"/>
      <c r="I12062"/>
    </row>
    <row r="12063" spans="2:9" ht="15" x14ac:dyDescent="0.25">
      <c r="B12063"/>
      <c r="C12063"/>
      <c r="D12063"/>
      <c r="E12063"/>
      <c r="F12063"/>
      <c r="G12063" s="20"/>
      <c r="H12063"/>
      <c r="I12063"/>
    </row>
    <row r="12064" spans="2:9" ht="15" x14ac:dyDescent="0.25">
      <c r="B12064"/>
      <c r="C12064"/>
      <c r="D12064"/>
      <c r="E12064"/>
      <c r="F12064"/>
      <c r="G12064" s="20"/>
      <c r="H12064"/>
      <c r="I12064"/>
    </row>
    <row r="12065" spans="2:9" ht="15" x14ac:dyDescent="0.25">
      <c r="B12065"/>
      <c r="C12065"/>
      <c r="D12065"/>
      <c r="E12065"/>
      <c r="F12065"/>
      <c r="G12065" s="20"/>
      <c r="H12065"/>
      <c r="I12065"/>
    </row>
    <row r="12066" spans="2:9" ht="15" x14ac:dyDescent="0.25">
      <c r="B12066"/>
      <c r="C12066"/>
      <c r="D12066"/>
      <c r="E12066"/>
      <c r="F12066"/>
      <c r="G12066" s="20"/>
      <c r="H12066"/>
      <c r="I12066"/>
    </row>
    <row r="12067" spans="2:9" ht="15" x14ac:dyDescent="0.25">
      <c r="B12067"/>
      <c r="C12067"/>
      <c r="D12067"/>
      <c r="E12067"/>
      <c r="F12067"/>
      <c r="G12067" s="20"/>
      <c r="H12067"/>
      <c r="I12067"/>
    </row>
    <row r="12068" spans="2:9" ht="15" x14ac:dyDescent="0.25">
      <c r="B12068"/>
      <c r="C12068"/>
      <c r="D12068"/>
      <c r="E12068"/>
      <c r="F12068"/>
      <c r="G12068" s="20"/>
      <c r="H12068"/>
      <c r="I12068"/>
    </row>
    <row r="12069" spans="2:9" ht="15" x14ac:dyDescent="0.25">
      <c r="B12069"/>
      <c r="C12069"/>
      <c r="D12069"/>
      <c r="E12069"/>
      <c r="F12069"/>
      <c r="G12069" s="20"/>
      <c r="H12069"/>
      <c r="I12069"/>
    </row>
    <row r="12070" spans="2:9" ht="15" x14ac:dyDescent="0.25">
      <c r="B12070"/>
      <c r="C12070"/>
      <c r="D12070"/>
      <c r="E12070"/>
      <c r="F12070"/>
      <c r="G12070" s="20"/>
      <c r="H12070"/>
      <c r="I12070"/>
    </row>
    <row r="12071" spans="2:9" ht="15" x14ac:dyDescent="0.25">
      <c r="B12071"/>
      <c r="C12071"/>
      <c r="D12071"/>
      <c r="E12071"/>
      <c r="F12071"/>
      <c r="G12071" s="20"/>
      <c r="H12071"/>
      <c r="I12071"/>
    </row>
    <row r="12072" spans="2:9" ht="15" x14ac:dyDescent="0.25">
      <c r="B12072"/>
      <c r="C12072"/>
      <c r="D12072"/>
      <c r="E12072"/>
      <c r="F12072"/>
      <c r="G12072" s="20"/>
      <c r="H12072"/>
      <c r="I12072"/>
    </row>
    <row r="12073" spans="2:9" ht="15" x14ac:dyDescent="0.25">
      <c r="B12073"/>
      <c r="C12073"/>
      <c r="D12073"/>
      <c r="E12073"/>
      <c r="F12073"/>
      <c r="G12073" s="20"/>
      <c r="H12073"/>
      <c r="I12073"/>
    </row>
    <row r="12074" spans="2:9" ht="15" x14ac:dyDescent="0.25">
      <c r="B12074"/>
      <c r="C12074"/>
      <c r="D12074"/>
      <c r="E12074"/>
      <c r="F12074"/>
      <c r="G12074" s="20"/>
      <c r="H12074"/>
      <c r="I12074"/>
    </row>
    <row r="12075" spans="2:9" ht="15" x14ac:dyDescent="0.25">
      <c r="B12075"/>
      <c r="C12075"/>
      <c r="D12075"/>
      <c r="E12075"/>
      <c r="F12075"/>
      <c r="G12075" s="20"/>
      <c r="H12075"/>
      <c r="I12075"/>
    </row>
    <row r="12076" spans="2:9" ht="15" x14ac:dyDescent="0.25">
      <c r="B12076"/>
      <c r="C12076"/>
      <c r="D12076"/>
      <c r="E12076"/>
      <c r="F12076"/>
      <c r="G12076" s="20"/>
      <c r="H12076"/>
      <c r="I12076"/>
    </row>
    <row r="12077" spans="2:9" ht="15" x14ac:dyDescent="0.25">
      <c r="B12077"/>
      <c r="C12077"/>
      <c r="D12077"/>
      <c r="E12077"/>
      <c r="F12077"/>
      <c r="G12077" s="20"/>
      <c r="H12077"/>
      <c r="I12077"/>
    </row>
    <row r="12078" spans="2:9" ht="15" x14ac:dyDescent="0.25">
      <c r="B12078"/>
      <c r="C12078"/>
      <c r="D12078"/>
      <c r="E12078"/>
      <c r="F12078"/>
      <c r="G12078" s="20"/>
      <c r="H12078"/>
      <c r="I12078"/>
    </row>
    <row r="12079" spans="2:9" ht="15" x14ac:dyDescent="0.25">
      <c r="B12079"/>
      <c r="C12079"/>
      <c r="D12079"/>
      <c r="E12079"/>
      <c r="F12079"/>
      <c r="G12079" s="20"/>
      <c r="H12079"/>
      <c r="I12079"/>
    </row>
    <row r="12080" spans="2:9" ht="15" x14ac:dyDescent="0.25">
      <c r="B12080"/>
      <c r="C12080"/>
      <c r="D12080"/>
      <c r="E12080"/>
      <c r="F12080"/>
      <c r="G12080" s="20"/>
      <c r="H12080"/>
      <c r="I12080"/>
    </row>
    <row r="12081" spans="2:9" ht="15" x14ac:dyDescent="0.25">
      <c r="B12081"/>
      <c r="C12081"/>
      <c r="D12081"/>
      <c r="E12081"/>
      <c r="F12081"/>
      <c r="G12081" s="20"/>
      <c r="H12081"/>
      <c r="I12081"/>
    </row>
    <row r="12082" spans="2:9" ht="15" x14ac:dyDescent="0.25">
      <c r="B12082"/>
      <c r="C12082"/>
      <c r="D12082"/>
      <c r="E12082"/>
      <c r="F12082"/>
      <c r="G12082" s="20"/>
      <c r="H12082"/>
      <c r="I12082"/>
    </row>
    <row r="12083" spans="2:9" ht="15" x14ac:dyDescent="0.25">
      <c r="B12083"/>
      <c r="C12083"/>
      <c r="D12083"/>
      <c r="E12083"/>
      <c r="F12083"/>
      <c r="G12083" s="20"/>
      <c r="H12083"/>
      <c r="I12083"/>
    </row>
    <row r="12084" spans="2:9" ht="15" x14ac:dyDescent="0.25">
      <c r="B12084"/>
      <c r="C12084"/>
      <c r="D12084"/>
      <c r="E12084"/>
      <c r="F12084"/>
      <c r="G12084" s="20"/>
      <c r="H12084"/>
      <c r="I12084"/>
    </row>
    <row r="12085" spans="2:9" ht="15" x14ac:dyDescent="0.25">
      <c r="B12085"/>
      <c r="C12085"/>
      <c r="D12085"/>
      <c r="E12085"/>
      <c r="F12085"/>
      <c r="G12085" s="20"/>
      <c r="H12085"/>
      <c r="I12085"/>
    </row>
    <row r="12086" spans="2:9" ht="15" x14ac:dyDescent="0.25">
      <c r="B12086"/>
      <c r="C12086"/>
      <c r="D12086"/>
      <c r="E12086"/>
      <c r="F12086"/>
      <c r="G12086" s="20"/>
      <c r="H12086"/>
      <c r="I12086"/>
    </row>
    <row r="12087" spans="2:9" ht="15" x14ac:dyDescent="0.25">
      <c r="B12087"/>
      <c r="C12087"/>
      <c r="D12087"/>
      <c r="E12087"/>
      <c r="F12087"/>
      <c r="G12087" s="20"/>
      <c r="H12087"/>
      <c r="I12087"/>
    </row>
    <row r="12088" spans="2:9" ht="15" x14ac:dyDescent="0.25">
      <c r="B12088"/>
      <c r="C12088"/>
      <c r="D12088"/>
      <c r="E12088"/>
      <c r="F12088"/>
      <c r="G12088" s="20"/>
      <c r="H12088"/>
      <c r="I12088"/>
    </row>
    <row r="12089" spans="2:9" ht="15" x14ac:dyDescent="0.25">
      <c r="B12089"/>
      <c r="C12089"/>
      <c r="D12089"/>
      <c r="E12089"/>
      <c r="F12089"/>
      <c r="G12089" s="20"/>
      <c r="H12089"/>
      <c r="I12089"/>
    </row>
    <row r="12090" spans="2:9" ht="15" x14ac:dyDescent="0.25">
      <c r="B12090"/>
      <c r="C12090"/>
      <c r="D12090"/>
      <c r="E12090"/>
      <c r="F12090"/>
      <c r="G12090" s="20"/>
      <c r="H12090"/>
      <c r="I12090"/>
    </row>
    <row r="12091" spans="2:9" ht="15" x14ac:dyDescent="0.25">
      <c r="B12091"/>
      <c r="C12091"/>
      <c r="D12091"/>
      <c r="E12091"/>
      <c r="F12091"/>
      <c r="G12091" s="20"/>
      <c r="H12091"/>
      <c r="I12091"/>
    </row>
    <row r="12092" spans="2:9" ht="15" x14ac:dyDescent="0.25">
      <c r="B12092"/>
      <c r="C12092"/>
      <c r="D12092"/>
      <c r="E12092"/>
      <c r="F12092"/>
      <c r="G12092" s="20"/>
      <c r="H12092"/>
      <c r="I12092"/>
    </row>
    <row r="12093" spans="2:9" ht="15" x14ac:dyDescent="0.25">
      <c r="B12093"/>
      <c r="C12093"/>
      <c r="D12093"/>
      <c r="E12093"/>
      <c r="F12093"/>
      <c r="G12093" s="20"/>
      <c r="H12093"/>
      <c r="I12093"/>
    </row>
    <row r="12094" spans="2:9" ht="15" x14ac:dyDescent="0.25">
      <c r="B12094"/>
      <c r="C12094"/>
      <c r="D12094"/>
      <c r="E12094"/>
      <c r="F12094"/>
      <c r="G12094" s="20"/>
      <c r="H12094"/>
      <c r="I12094"/>
    </row>
    <row r="12095" spans="2:9" ht="15" x14ac:dyDescent="0.25">
      <c r="B12095"/>
      <c r="C12095"/>
      <c r="D12095"/>
      <c r="E12095"/>
      <c r="F12095"/>
      <c r="G12095" s="20"/>
      <c r="H12095"/>
      <c r="I12095"/>
    </row>
    <row r="12096" spans="2:9" ht="15" x14ac:dyDescent="0.25">
      <c r="B12096"/>
      <c r="C12096"/>
      <c r="D12096"/>
      <c r="E12096"/>
      <c r="F12096"/>
      <c r="G12096" s="20"/>
      <c r="H12096"/>
      <c r="I12096"/>
    </row>
    <row r="12097" spans="2:9" ht="15" x14ac:dyDescent="0.25">
      <c r="B12097"/>
      <c r="C12097"/>
      <c r="D12097"/>
      <c r="E12097"/>
      <c r="F12097"/>
      <c r="G12097" s="20"/>
      <c r="H12097"/>
      <c r="I12097"/>
    </row>
    <row r="12098" spans="2:9" ht="15" x14ac:dyDescent="0.25">
      <c r="B12098"/>
      <c r="C12098"/>
      <c r="D12098"/>
      <c r="E12098"/>
      <c r="F12098"/>
      <c r="G12098" s="20"/>
      <c r="H12098"/>
      <c r="I12098"/>
    </row>
    <row r="12099" spans="2:9" ht="15" x14ac:dyDescent="0.25">
      <c r="B12099"/>
      <c r="C12099"/>
      <c r="D12099"/>
      <c r="E12099"/>
      <c r="F12099"/>
      <c r="G12099" s="20"/>
      <c r="H12099"/>
      <c r="I12099"/>
    </row>
    <row r="12100" spans="2:9" ht="15" x14ac:dyDescent="0.25">
      <c r="B12100"/>
      <c r="C12100"/>
      <c r="D12100"/>
      <c r="E12100"/>
      <c r="F12100"/>
      <c r="G12100" s="20"/>
      <c r="H12100"/>
      <c r="I12100"/>
    </row>
    <row r="12101" spans="2:9" ht="15" x14ac:dyDescent="0.25">
      <c r="B12101"/>
      <c r="C12101"/>
      <c r="D12101"/>
      <c r="E12101"/>
      <c r="F12101"/>
      <c r="G12101" s="20"/>
      <c r="H12101"/>
      <c r="I12101"/>
    </row>
    <row r="12102" spans="2:9" ht="15" x14ac:dyDescent="0.25">
      <c r="B12102"/>
      <c r="C12102"/>
      <c r="D12102"/>
      <c r="E12102"/>
      <c r="F12102"/>
      <c r="G12102" s="20"/>
      <c r="H12102"/>
      <c r="I12102"/>
    </row>
    <row r="12103" spans="2:9" ht="15" x14ac:dyDescent="0.25">
      <c r="B12103"/>
      <c r="C12103"/>
      <c r="D12103"/>
      <c r="E12103"/>
      <c r="F12103"/>
      <c r="G12103" s="20"/>
      <c r="H12103"/>
      <c r="I12103"/>
    </row>
    <row r="12104" spans="2:9" ht="15" x14ac:dyDescent="0.25">
      <c r="B12104"/>
      <c r="C12104"/>
      <c r="D12104"/>
      <c r="E12104"/>
      <c r="F12104"/>
      <c r="G12104" s="20"/>
      <c r="H12104"/>
      <c r="I12104"/>
    </row>
    <row r="12105" spans="2:9" ht="15" x14ac:dyDescent="0.25">
      <c r="B12105"/>
      <c r="C12105"/>
      <c r="D12105"/>
      <c r="E12105"/>
      <c r="F12105"/>
      <c r="G12105" s="20"/>
      <c r="H12105"/>
      <c r="I12105"/>
    </row>
    <row r="12106" spans="2:9" ht="15" x14ac:dyDescent="0.25">
      <c r="B12106"/>
      <c r="C12106"/>
      <c r="D12106"/>
      <c r="E12106"/>
      <c r="F12106"/>
      <c r="G12106" s="20"/>
      <c r="H12106"/>
      <c r="I12106"/>
    </row>
    <row r="12107" spans="2:9" ht="15" x14ac:dyDescent="0.25">
      <c r="B12107"/>
      <c r="C12107"/>
      <c r="D12107"/>
      <c r="E12107"/>
      <c r="F12107"/>
      <c r="G12107" s="20"/>
      <c r="H12107"/>
      <c r="I12107"/>
    </row>
    <row r="12108" spans="2:9" ht="15" x14ac:dyDescent="0.25">
      <c r="B12108"/>
      <c r="C12108"/>
      <c r="D12108"/>
      <c r="E12108"/>
      <c r="F12108"/>
      <c r="G12108" s="20"/>
      <c r="H12108"/>
      <c r="I12108"/>
    </row>
    <row r="12109" spans="2:9" ht="15" x14ac:dyDescent="0.25">
      <c r="B12109"/>
      <c r="C12109"/>
      <c r="D12109"/>
      <c r="E12109"/>
      <c r="F12109"/>
      <c r="G12109" s="20"/>
      <c r="H12109"/>
      <c r="I12109"/>
    </row>
    <row r="12110" spans="2:9" ht="15" x14ac:dyDescent="0.25">
      <c r="B12110"/>
      <c r="C12110"/>
      <c r="D12110"/>
      <c r="E12110"/>
      <c r="F12110"/>
      <c r="G12110" s="20"/>
      <c r="H12110"/>
      <c r="I12110"/>
    </row>
    <row r="12111" spans="2:9" ht="15" x14ac:dyDescent="0.25">
      <c r="B12111"/>
      <c r="C12111"/>
      <c r="D12111"/>
      <c r="E12111"/>
      <c r="F12111"/>
      <c r="G12111" s="20"/>
      <c r="H12111"/>
      <c r="I12111"/>
    </row>
    <row r="12112" spans="2:9" ht="15" x14ac:dyDescent="0.25">
      <c r="B12112"/>
      <c r="C12112"/>
      <c r="D12112"/>
      <c r="E12112"/>
      <c r="F12112"/>
      <c r="G12112" s="20"/>
      <c r="H12112"/>
      <c r="I12112"/>
    </row>
    <row r="12113" spans="2:9" ht="15" x14ac:dyDescent="0.25">
      <c r="B12113"/>
      <c r="C12113"/>
      <c r="D12113"/>
      <c r="E12113"/>
      <c r="F12113"/>
      <c r="G12113" s="20"/>
      <c r="H12113"/>
      <c r="I12113"/>
    </row>
    <row r="12114" spans="2:9" ht="15" x14ac:dyDescent="0.25">
      <c r="B12114"/>
      <c r="C12114"/>
      <c r="D12114"/>
      <c r="E12114"/>
      <c r="F12114"/>
      <c r="G12114" s="20"/>
      <c r="H12114"/>
      <c r="I12114"/>
    </row>
    <row r="12115" spans="2:9" ht="15" x14ac:dyDescent="0.25">
      <c r="B12115"/>
      <c r="C12115"/>
      <c r="D12115"/>
      <c r="E12115"/>
      <c r="F12115"/>
      <c r="G12115" s="20"/>
      <c r="H12115"/>
      <c r="I12115"/>
    </row>
    <row r="12116" spans="2:9" ht="15" x14ac:dyDescent="0.25">
      <c r="B12116"/>
      <c r="C12116"/>
      <c r="D12116"/>
      <c r="E12116"/>
      <c r="F12116"/>
      <c r="G12116" s="20"/>
      <c r="H12116"/>
      <c r="I12116"/>
    </row>
    <row r="12117" spans="2:9" ht="15" x14ac:dyDescent="0.25">
      <c r="B12117"/>
      <c r="C12117"/>
      <c r="D12117"/>
      <c r="E12117"/>
      <c r="F12117"/>
      <c r="G12117" s="20"/>
      <c r="H12117"/>
      <c r="I12117"/>
    </row>
    <row r="12118" spans="2:9" ht="15" x14ac:dyDescent="0.25">
      <c r="B12118"/>
      <c r="C12118"/>
      <c r="D12118"/>
      <c r="E12118"/>
      <c r="F12118"/>
      <c r="G12118" s="20"/>
      <c r="H12118"/>
      <c r="I12118"/>
    </row>
    <row r="12119" spans="2:9" ht="15" x14ac:dyDescent="0.25">
      <c r="B12119"/>
      <c r="C12119"/>
      <c r="D12119"/>
      <c r="E12119"/>
      <c r="F12119"/>
      <c r="G12119" s="20"/>
      <c r="H12119"/>
      <c r="I12119"/>
    </row>
    <row r="12120" spans="2:9" ht="15" x14ac:dyDescent="0.25">
      <c r="B12120"/>
      <c r="C12120"/>
      <c r="D12120"/>
      <c r="E12120"/>
      <c r="F12120"/>
      <c r="G12120" s="20"/>
      <c r="H12120"/>
      <c r="I12120"/>
    </row>
    <row r="12121" spans="2:9" ht="15" x14ac:dyDescent="0.25">
      <c r="B12121"/>
      <c r="C12121"/>
      <c r="D12121"/>
      <c r="E12121"/>
      <c r="F12121"/>
      <c r="G12121" s="20"/>
      <c r="H12121"/>
      <c r="I12121"/>
    </row>
    <row r="12122" spans="2:9" ht="15" x14ac:dyDescent="0.25">
      <c r="B12122"/>
      <c r="C12122"/>
      <c r="D12122"/>
      <c r="E12122"/>
      <c r="F12122"/>
      <c r="G12122" s="20"/>
      <c r="H12122"/>
      <c r="I12122"/>
    </row>
    <row r="12123" spans="2:9" ht="15" x14ac:dyDescent="0.25">
      <c r="B12123"/>
      <c r="C12123"/>
      <c r="D12123"/>
      <c r="E12123"/>
      <c r="F12123"/>
      <c r="G12123" s="20"/>
      <c r="H12123"/>
      <c r="I12123"/>
    </row>
    <row r="12124" spans="2:9" ht="15" x14ac:dyDescent="0.25">
      <c r="B12124"/>
      <c r="C12124"/>
      <c r="D12124"/>
      <c r="E12124"/>
      <c r="F12124"/>
      <c r="G12124" s="20"/>
      <c r="H12124"/>
      <c r="I12124"/>
    </row>
    <row r="12125" spans="2:9" ht="15" x14ac:dyDescent="0.25">
      <c r="B12125"/>
      <c r="C12125"/>
      <c r="D12125"/>
      <c r="E12125"/>
      <c r="F12125"/>
      <c r="G12125" s="20"/>
      <c r="H12125"/>
      <c r="I12125"/>
    </row>
    <row r="12126" spans="2:9" ht="15" x14ac:dyDescent="0.25">
      <c r="B12126"/>
      <c r="C12126"/>
      <c r="D12126"/>
      <c r="E12126"/>
      <c r="F12126"/>
      <c r="G12126" s="20"/>
      <c r="H12126"/>
      <c r="I12126"/>
    </row>
    <row r="12127" spans="2:9" ht="15" x14ac:dyDescent="0.25">
      <c r="B12127"/>
      <c r="C12127"/>
      <c r="D12127"/>
      <c r="E12127"/>
      <c r="F12127"/>
      <c r="G12127" s="20"/>
      <c r="H12127"/>
      <c r="I12127"/>
    </row>
    <row r="12128" spans="2:9" ht="15" x14ac:dyDescent="0.25">
      <c r="B12128"/>
      <c r="C12128"/>
      <c r="D12128"/>
      <c r="E12128"/>
      <c r="F12128"/>
      <c r="G12128" s="20"/>
      <c r="H12128"/>
      <c r="I12128"/>
    </row>
    <row r="12129" spans="2:9" ht="15" x14ac:dyDescent="0.25">
      <c r="B12129"/>
      <c r="C12129"/>
      <c r="D12129"/>
      <c r="E12129"/>
      <c r="F12129"/>
      <c r="G12129" s="20"/>
      <c r="H12129"/>
      <c r="I12129"/>
    </row>
    <row r="12130" spans="2:9" ht="15" x14ac:dyDescent="0.25">
      <c r="B12130"/>
      <c r="C12130"/>
      <c r="D12130"/>
      <c r="E12130"/>
      <c r="F12130"/>
      <c r="G12130" s="20"/>
      <c r="H12130"/>
      <c r="I12130"/>
    </row>
    <row r="12131" spans="2:9" ht="15" x14ac:dyDescent="0.25">
      <c r="B12131"/>
      <c r="C12131"/>
      <c r="D12131"/>
      <c r="E12131"/>
      <c r="F12131"/>
      <c r="G12131" s="20"/>
      <c r="H12131"/>
      <c r="I12131"/>
    </row>
    <row r="12132" spans="2:9" ht="15" x14ac:dyDescent="0.25">
      <c r="B12132"/>
      <c r="C12132"/>
      <c r="D12132"/>
      <c r="E12132"/>
      <c r="F12132"/>
      <c r="G12132" s="20"/>
      <c r="H12132"/>
      <c r="I12132"/>
    </row>
    <row r="12133" spans="2:9" ht="15" x14ac:dyDescent="0.25">
      <c r="B12133"/>
      <c r="C12133"/>
      <c r="D12133"/>
      <c r="E12133"/>
      <c r="F12133"/>
      <c r="G12133" s="20"/>
      <c r="H12133"/>
      <c r="I12133"/>
    </row>
    <row r="12134" spans="2:9" ht="15" x14ac:dyDescent="0.25">
      <c r="B12134"/>
      <c r="C12134"/>
      <c r="D12134"/>
      <c r="E12134"/>
      <c r="F12134"/>
      <c r="G12134" s="20"/>
      <c r="H12134"/>
      <c r="I12134"/>
    </row>
    <row r="12135" spans="2:9" ht="15" x14ac:dyDescent="0.25">
      <c r="B12135"/>
      <c r="C12135"/>
      <c r="D12135"/>
      <c r="E12135"/>
      <c r="F12135"/>
      <c r="G12135" s="20"/>
      <c r="H12135"/>
      <c r="I12135"/>
    </row>
    <row r="12136" spans="2:9" ht="15" x14ac:dyDescent="0.25">
      <c r="B12136"/>
      <c r="C12136"/>
      <c r="D12136"/>
      <c r="E12136"/>
      <c r="F12136"/>
      <c r="G12136" s="20"/>
      <c r="H12136"/>
      <c r="I12136"/>
    </row>
    <row r="12137" spans="2:9" ht="15" x14ac:dyDescent="0.25">
      <c r="B12137"/>
      <c r="C12137"/>
      <c r="D12137"/>
      <c r="E12137"/>
      <c r="F12137"/>
      <c r="G12137" s="20"/>
      <c r="H12137"/>
      <c r="I12137"/>
    </row>
    <row r="12138" spans="2:9" ht="15" x14ac:dyDescent="0.25">
      <c r="B12138"/>
      <c r="C12138"/>
      <c r="D12138"/>
      <c r="E12138"/>
      <c r="F12138"/>
      <c r="G12138" s="20"/>
      <c r="H12138"/>
      <c r="I12138"/>
    </row>
    <row r="12139" spans="2:9" ht="15" x14ac:dyDescent="0.25">
      <c r="B12139"/>
      <c r="C12139"/>
      <c r="D12139"/>
      <c r="E12139"/>
      <c r="F12139"/>
      <c r="G12139" s="20"/>
      <c r="H12139"/>
      <c r="I12139"/>
    </row>
    <row r="12140" spans="2:9" ht="15" x14ac:dyDescent="0.25">
      <c r="B12140"/>
      <c r="C12140"/>
      <c r="D12140"/>
      <c r="E12140"/>
      <c r="F12140"/>
      <c r="G12140" s="20"/>
      <c r="H12140"/>
      <c r="I12140"/>
    </row>
    <row r="12141" spans="2:9" ht="15" x14ac:dyDescent="0.25">
      <c r="B12141"/>
      <c r="C12141"/>
      <c r="D12141"/>
      <c r="E12141"/>
      <c r="F12141"/>
      <c r="G12141" s="20"/>
      <c r="H12141"/>
      <c r="I12141"/>
    </row>
    <row r="12142" spans="2:9" ht="15" x14ac:dyDescent="0.25">
      <c r="B12142"/>
      <c r="C12142"/>
      <c r="D12142"/>
      <c r="E12142"/>
      <c r="F12142"/>
      <c r="G12142" s="20"/>
      <c r="H12142"/>
      <c r="I12142"/>
    </row>
    <row r="12143" spans="2:9" ht="15" x14ac:dyDescent="0.25">
      <c r="B12143"/>
      <c r="C12143"/>
      <c r="D12143"/>
      <c r="E12143"/>
      <c r="F12143"/>
      <c r="G12143" s="20"/>
      <c r="H12143"/>
      <c r="I12143"/>
    </row>
    <row r="12144" spans="2:9" ht="15" x14ac:dyDescent="0.25">
      <c r="B12144"/>
      <c r="C12144"/>
      <c r="D12144"/>
      <c r="E12144"/>
      <c r="F12144"/>
      <c r="G12144" s="20"/>
      <c r="H12144"/>
      <c r="I12144"/>
    </row>
    <row r="12145" spans="2:9" ht="15" x14ac:dyDescent="0.25">
      <c r="B12145"/>
      <c r="C12145"/>
      <c r="D12145"/>
      <c r="E12145"/>
      <c r="F12145"/>
      <c r="G12145" s="20"/>
      <c r="H12145"/>
      <c r="I12145"/>
    </row>
    <row r="12146" spans="2:9" ht="15" x14ac:dyDescent="0.25">
      <c r="B12146"/>
      <c r="C12146"/>
      <c r="D12146"/>
      <c r="E12146"/>
      <c r="F12146"/>
      <c r="G12146" s="20"/>
      <c r="H12146"/>
      <c r="I12146"/>
    </row>
    <row r="12147" spans="2:9" ht="15" x14ac:dyDescent="0.25">
      <c r="B12147"/>
      <c r="C12147"/>
      <c r="D12147"/>
      <c r="E12147"/>
      <c r="F12147"/>
      <c r="G12147" s="20"/>
      <c r="H12147"/>
      <c r="I12147"/>
    </row>
    <row r="12148" spans="2:9" ht="15" x14ac:dyDescent="0.25">
      <c r="B12148"/>
      <c r="C12148"/>
      <c r="D12148"/>
      <c r="E12148"/>
      <c r="F12148"/>
      <c r="G12148" s="20"/>
      <c r="H12148"/>
      <c r="I12148"/>
    </row>
    <row r="12149" spans="2:9" ht="15" x14ac:dyDescent="0.25">
      <c r="B12149"/>
      <c r="C12149"/>
      <c r="D12149"/>
      <c r="E12149"/>
      <c r="F12149"/>
      <c r="G12149" s="20"/>
      <c r="H12149"/>
      <c r="I12149"/>
    </row>
    <row r="12150" spans="2:9" ht="15" x14ac:dyDescent="0.25">
      <c r="B12150"/>
      <c r="C12150"/>
      <c r="D12150"/>
      <c r="E12150"/>
      <c r="F12150"/>
      <c r="G12150" s="20"/>
      <c r="H12150"/>
      <c r="I12150"/>
    </row>
    <row r="12151" spans="2:9" ht="15" x14ac:dyDescent="0.25">
      <c r="B12151"/>
      <c r="C12151"/>
      <c r="D12151"/>
      <c r="E12151"/>
      <c r="F12151"/>
      <c r="G12151" s="20"/>
      <c r="H12151"/>
      <c r="I12151"/>
    </row>
    <row r="12152" spans="2:9" ht="15" x14ac:dyDescent="0.25">
      <c r="B12152"/>
      <c r="C12152"/>
      <c r="D12152"/>
      <c r="E12152"/>
      <c r="F12152"/>
      <c r="G12152" s="20"/>
      <c r="H12152"/>
      <c r="I12152"/>
    </row>
    <row r="12153" spans="2:9" ht="15" x14ac:dyDescent="0.25">
      <c r="B12153"/>
      <c r="C12153"/>
      <c r="D12153"/>
      <c r="E12153"/>
      <c r="F12153"/>
      <c r="G12153" s="20"/>
      <c r="H12153"/>
      <c r="I12153"/>
    </row>
    <row r="12154" spans="2:9" ht="15" x14ac:dyDescent="0.25">
      <c r="B12154"/>
      <c r="C12154"/>
      <c r="D12154"/>
      <c r="E12154"/>
      <c r="F12154"/>
      <c r="G12154" s="20"/>
      <c r="H12154"/>
      <c r="I12154"/>
    </row>
    <row r="12155" spans="2:9" ht="15" x14ac:dyDescent="0.25">
      <c r="B12155"/>
      <c r="C12155"/>
      <c r="D12155"/>
      <c r="E12155"/>
      <c r="F12155"/>
      <c r="G12155" s="20"/>
      <c r="H12155"/>
      <c r="I12155"/>
    </row>
    <row r="12156" spans="2:9" ht="15" x14ac:dyDescent="0.25">
      <c r="B12156"/>
      <c r="C12156"/>
      <c r="D12156"/>
      <c r="E12156"/>
      <c r="F12156"/>
      <c r="G12156" s="20"/>
      <c r="H12156"/>
      <c r="I12156"/>
    </row>
    <row r="12157" spans="2:9" ht="15" x14ac:dyDescent="0.25">
      <c r="B12157"/>
      <c r="C12157"/>
      <c r="D12157"/>
      <c r="E12157"/>
      <c r="F12157"/>
      <c r="G12157" s="20"/>
      <c r="H12157"/>
      <c r="I12157"/>
    </row>
    <row r="12158" spans="2:9" ht="15" x14ac:dyDescent="0.25">
      <c r="B12158"/>
      <c r="C12158"/>
      <c r="D12158"/>
      <c r="E12158"/>
      <c r="F12158"/>
      <c r="G12158" s="20"/>
      <c r="H12158"/>
      <c r="I12158"/>
    </row>
    <row r="12159" spans="2:9" ht="15" x14ac:dyDescent="0.25">
      <c r="B12159"/>
      <c r="C12159"/>
      <c r="D12159"/>
      <c r="E12159"/>
      <c r="F12159"/>
      <c r="G12159" s="20"/>
      <c r="H12159"/>
      <c r="I12159"/>
    </row>
    <row r="12160" spans="2:9" ht="15" x14ac:dyDescent="0.25">
      <c r="B12160"/>
      <c r="C12160"/>
      <c r="D12160"/>
      <c r="E12160"/>
      <c r="F12160"/>
      <c r="G12160" s="20"/>
      <c r="H12160"/>
      <c r="I12160"/>
    </row>
    <row r="12161" spans="2:9" ht="15" x14ac:dyDescent="0.25">
      <c r="B12161"/>
      <c r="C12161"/>
      <c r="D12161"/>
      <c r="E12161"/>
      <c r="F12161"/>
      <c r="G12161" s="20"/>
      <c r="H12161"/>
      <c r="I12161"/>
    </row>
    <row r="12162" spans="2:9" ht="15" x14ac:dyDescent="0.25">
      <c r="B12162"/>
      <c r="C12162"/>
      <c r="D12162"/>
      <c r="E12162"/>
      <c r="F12162"/>
      <c r="G12162" s="20"/>
      <c r="H12162"/>
      <c r="I12162"/>
    </row>
    <row r="12163" spans="2:9" ht="15" x14ac:dyDescent="0.25">
      <c r="B12163"/>
      <c r="C12163"/>
      <c r="D12163"/>
      <c r="E12163"/>
      <c r="F12163"/>
      <c r="G12163" s="20"/>
      <c r="H12163"/>
      <c r="I12163"/>
    </row>
    <row r="12164" spans="2:9" ht="15" x14ac:dyDescent="0.25">
      <c r="B12164"/>
      <c r="C12164"/>
      <c r="D12164"/>
      <c r="E12164"/>
      <c r="F12164"/>
      <c r="G12164" s="20"/>
      <c r="H12164"/>
      <c r="I12164"/>
    </row>
    <row r="12165" spans="2:9" ht="15" x14ac:dyDescent="0.25">
      <c r="B12165"/>
      <c r="C12165"/>
      <c r="D12165"/>
      <c r="E12165"/>
      <c r="F12165"/>
      <c r="G12165" s="20"/>
      <c r="H12165"/>
      <c r="I12165"/>
    </row>
    <row r="12166" spans="2:9" ht="15" x14ac:dyDescent="0.25">
      <c r="B12166"/>
      <c r="C12166"/>
      <c r="D12166"/>
      <c r="E12166"/>
      <c r="F12166"/>
      <c r="G12166" s="20"/>
      <c r="H12166"/>
      <c r="I12166"/>
    </row>
    <row r="12167" spans="2:9" ht="15" x14ac:dyDescent="0.25">
      <c r="B12167"/>
      <c r="C12167"/>
      <c r="D12167"/>
      <c r="E12167"/>
      <c r="F12167"/>
      <c r="G12167" s="20"/>
      <c r="H12167"/>
      <c r="I12167"/>
    </row>
    <row r="12168" spans="2:9" ht="15" x14ac:dyDescent="0.25">
      <c r="B12168"/>
      <c r="C12168"/>
      <c r="D12168"/>
      <c r="E12168"/>
      <c r="F12168"/>
      <c r="G12168" s="20"/>
      <c r="H12168"/>
      <c r="I12168"/>
    </row>
    <row r="12169" spans="2:9" ht="15" x14ac:dyDescent="0.25">
      <c r="B12169"/>
      <c r="C12169"/>
      <c r="D12169"/>
      <c r="E12169"/>
      <c r="F12169"/>
      <c r="G12169" s="20"/>
      <c r="H12169"/>
      <c r="I12169"/>
    </row>
    <row r="12170" spans="2:9" ht="15" x14ac:dyDescent="0.25">
      <c r="B12170"/>
      <c r="C12170"/>
      <c r="D12170"/>
      <c r="E12170"/>
      <c r="F12170"/>
      <c r="G12170" s="20"/>
      <c r="H12170"/>
      <c r="I12170"/>
    </row>
    <row r="12171" spans="2:9" ht="15" x14ac:dyDescent="0.25">
      <c r="B12171"/>
      <c r="C12171"/>
      <c r="D12171"/>
      <c r="E12171"/>
      <c r="F12171"/>
      <c r="G12171" s="20"/>
      <c r="H12171"/>
      <c r="I12171"/>
    </row>
    <row r="12172" spans="2:9" ht="15" x14ac:dyDescent="0.25">
      <c r="B12172"/>
      <c r="C12172"/>
      <c r="D12172"/>
      <c r="E12172"/>
      <c r="F12172"/>
      <c r="G12172" s="20"/>
      <c r="H12172"/>
      <c r="I12172"/>
    </row>
    <row r="12173" spans="2:9" ht="15" x14ac:dyDescent="0.25">
      <c r="B12173"/>
      <c r="C12173"/>
      <c r="D12173"/>
      <c r="E12173"/>
      <c r="F12173"/>
      <c r="G12173" s="20"/>
      <c r="H12173"/>
      <c r="I12173"/>
    </row>
    <row r="12174" spans="2:9" ht="15" x14ac:dyDescent="0.25">
      <c r="B12174"/>
      <c r="C12174"/>
      <c r="D12174"/>
      <c r="E12174"/>
      <c r="F12174"/>
      <c r="G12174" s="20"/>
      <c r="H12174"/>
      <c r="I12174"/>
    </row>
    <row r="12175" spans="2:9" ht="15" x14ac:dyDescent="0.25">
      <c r="B12175"/>
      <c r="C12175"/>
      <c r="D12175"/>
      <c r="E12175"/>
      <c r="F12175"/>
      <c r="G12175" s="20"/>
      <c r="H12175"/>
      <c r="I12175"/>
    </row>
    <row r="12176" spans="2:9" ht="15" x14ac:dyDescent="0.25">
      <c r="B12176"/>
      <c r="C12176"/>
      <c r="D12176"/>
      <c r="E12176"/>
      <c r="F12176"/>
      <c r="G12176" s="20"/>
      <c r="H12176"/>
      <c r="I12176"/>
    </row>
    <row r="12177" spans="2:9" ht="15" x14ac:dyDescent="0.25">
      <c r="B12177"/>
      <c r="C12177"/>
      <c r="D12177"/>
      <c r="E12177"/>
      <c r="F12177"/>
      <c r="G12177" s="20"/>
      <c r="H12177"/>
      <c r="I12177"/>
    </row>
    <row r="12178" spans="2:9" ht="15" x14ac:dyDescent="0.25">
      <c r="B12178"/>
      <c r="C12178"/>
      <c r="D12178"/>
      <c r="E12178"/>
      <c r="F12178"/>
      <c r="G12178" s="20"/>
      <c r="H12178"/>
      <c r="I12178"/>
    </row>
    <row r="12179" spans="2:9" ht="15" x14ac:dyDescent="0.25">
      <c r="B12179"/>
      <c r="C12179"/>
      <c r="D12179"/>
      <c r="E12179"/>
      <c r="F12179"/>
      <c r="G12179" s="20"/>
      <c r="H12179"/>
      <c r="I12179"/>
    </row>
    <row r="12180" spans="2:9" ht="15" x14ac:dyDescent="0.25">
      <c r="B12180"/>
      <c r="C12180"/>
      <c r="D12180"/>
      <c r="E12180"/>
      <c r="F12180"/>
      <c r="G12180" s="20"/>
      <c r="H12180"/>
      <c r="I12180"/>
    </row>
    <row r="12181" spans="2:9" ht="15" x14ac:dyDescent="0.25">
      <c r="B12181"/>
      <c r="C12181"/>
      <c r="D12181"/>
      <c r="E12181"/>
      <c r="F12181"/>
      <c r="G12181" s="20"/>
      <c r="H12181"/>
      <c r="I12181"/>
    </row>
    <row r="12182" spans="2:9" ht="15" x14ac:dyDescent="0.25">
      <c r="B12182"/>
      <c r="C12182"/>
      <c r="D12182"/>
      <c r="E12182"/>
      <c r="F12182"/>
      <c r="G12182" s="20"/>
      <c r="H12182"/>
      <c r="I12182"/>
    </row>
    <row r="12183" spans="2:9" ht="15" x14ac:dyDescent="0.25">
      <c r="B12183"/>
      <c r="C12183"/>
      <c r="D12183"/>
      <c r="E12183"/>
      <c r="F12183"/>
      <c r="G12183" s="20"/>
      <c r="H12183"/>
      <c r="I12183"/>
    </row>
    <row r="12184" spans="2:9" ht="15" x14ac:dyDescent="0.25">
      <c r="B12184"/>
      <c r="C12184"/>
      <c r="D12184"/>
      <c r="E12184"/>
      <c r="F12184"/>
      <c r="G12184" s="20"/>
      <c r="H12184"/>
      <c r="I12184"/>
    </row>
    <row r="12185" spans="2:9" ht="15" x14ac:dyDescent="0.25">
      <c r="B12185"/>
      <c r="C12185"/>
      <c r="D12185"/>
      <c r="E12185"/>
      <c r="F12185"/>
      <c r="G12185" s="20"/>
      <c r="H12185"/>
      <c r="I12185"/>
    </row>
    <row r="12186" spans="2:9" ht="15" x14ac:dyDescent="0.25">
      <c r="B12186"/>
      <c r="C12186"/>
      <c r="D12186"/>
      <c r="E12186"/>
      <c r="F12186"/>
      <c r="G12186" s="20"/>
      <c r="H12186"/>
      <c r="I12186"/>
    </row>
    <row r="12187" spans="2:9" ht="15" x14ac:dyDescent="0.25">
      <c r="B12187"/>
      <c r="C12187"/>
      <c r="D12187"/>
      <c r="E12187"/>
      <c r="F12187"/>
      <c r="G12187" s="20"/>
      <c r="H12187"/>
      <c r="I12187"/>
    </row>
    <row r="12188" spans="2:9" ht="15" x14ac:dyDescent="0.25">
      <c r="B12188"/>
      <c r="C12188"/>
      <c r="D12188"/>
      <c r="E12188"/>
      <c r="F12188"/>
      <c r="G12188" s="20"/>
      <c r="H12188"/>
      <c r="I12188"/>
    </row>
    <row r="12189" spans="2:9" ht="15" x14ac:dyDescent="0.25">
      <c r="B12189"/>
      <c r="C12189"/>
      <c r="D12189"/>
      <c r="E12189"/>
      <c r="F12189"/>
      <c r="G12189" s="20"/>
      <c r="H12189"/>
      <c r="I12189"/>
    </row>
    <row r="12190" spans="2:9" ht="15" x14ac:dyDescent="0.25">
      <c r="B12190"/>
      <c r="C12190"/>
      <c r="D12190"/>
      <c r="E12190"/>
      <c r="F12190"/>
      <c r="G12190" s="20"/>
      <c r="H12190"/>
      <c r="I12190"/>
    </row>
    <row r="12191" spans="2:9" ht="15" x14ac:dyDescent="0.25">
      <c r="B12191"/>
      <c r="C12191"/>
      <c r="D12191"/>
      <c r="E12191"/>
      <c r="F12191"/>
      <c r="G12191" s="20"/>
      <c r="H12191"/>
      <c r="I12191"/>
    </row>
    <row r="12192" spans="2:9" ht="15" x14ac:dyDescent="0.25">
      <c r="B12192"/>
      <c r="C12192"/>
      <c r="D12192"/>
      <c r="E12192"/>
      <c r="F12192"/>
      <c r="G12192" s="20"/>
      <c r="H12192"/>
      <c r="I12192"/>
    </row>
    <row r="12193" spans="2:9" ht="15" x14ac:dyDescent="0.25">
      <c r="B12193"/>
      <c r="C12193"/>
      <c r="D12193"/>
      <c r="E12193"/>
      <c r="F12193"/>
      <c r="G12193" s="20"/>
      <c r="H12193"/>
      <c r="I12193"/>
    </row>
    <row r="12194" spans="2:9" ht="15" x14ac:dyDescent="0.25">
      <c r="B12194"/>
      <c r="C12194"/>
      <c r="D12194"/>
      <c r="E12194"/>
      <c r="F12194"/>
      <c r="G12194" s="20"/>
      <c r="H12194"/>
      <c r="I12194"/>
    </row>
    <row r="12195" spans="2:9" ht="15" x14ac:dyDescent="0.25">
      <c r="B12195"/>
      <c r="C12195"/>
      <c r="D12195"/>
      <c r="E12195"/>
      <c r="F12195"/>
      <c r="G12195" s="20"/>
      <c r="H12195"/>
      <c r="I12195"/>
    </row>
    <row r="12196" spans="2:9" ht="15" x14ac:dyDescent="0.25">
      <c r="B12196"/>
      <c r="C12196"/>
      <c r="D12196"/>
      <c r="E12196"/>
      <c r="F12196"/>
      <c r="G12196" s="20"/>
      <c r="H12196"/>
      <c r="I12196"/>
    </row>
    <row r="12197" spans="2:9" ht="15" x14ac:dyDescent="0.25">
      <c r="B12197"/>
      <c r="C12197"/>
      <c r="D12197"/>
      <c r="E12197"/>
      <c r="F12197"/>
      <c r="G12197" s="20"/>
      <c r="H12197"/>
      <c r="I12197"/>
    </row>
    <row r="12198" spans="2:9" ht="15" x14ac:dyDescent="0.25">
      <c r="B12198"/>
      <c r="C12198"/>
      <c r="D12198"/>
      <c r="E12198"/>
      <c r="F12198"/>
      <c r="G12198" s="20"/>
      <c r="H12198"/>
      <c r="I12198"/>
    </row>
    <row r="12199" spans="2:9" ht="15" x14ac:dyDescent="0.25">
      <c r="B12199"/>
      <c r="C12199"/>
      <c r="D12199"/>
      <c r="E12199"/>
      <c r="F12199"/>
      <c r="G12199" s="20"/>
      <c r="H12199"/>
      <c r="I12199"/>
    </row>
    <row r="12200" spans="2:9" ht="15" x14ac:dyDescent="0.25">
      <c r="B12200"/>
      <c r="C12200"/>
      <c r="D12200"/>
      <c r="E12200"/>
      <c r="F12200"/>
      <c r="G12200" s="20"/>
      <c r="H12200"/>
      <c r="I12200"/>
    </row>
    <row r="12201" spans="2:9" ht="15" x14ac:dyDescent="0.25">
      <c r="B12201"/>
      <c r="C12201"/>
      <c r="D12201"/>
      <c r="E12201"/>
      <c r="F12201"/>
      <c r="G12201" s="20"/>
      <c r="H12201"/>
      <c r="I12201"/>
    </row>
    <row r="12202" spans="2:9" ht="15" x14ac:dyDescent="0.25">
      <c r="B12202"/>
      <c r="C12202"/>
      <c r="D12202"/>
      <c r="E12202"/>
      <c r="F12202"/>
      <c r="G12202" s="20"/>
      <c r="H12202"/>
      <c r="I12202"/>
    </row>
    <row r="12203" spans="2:9" ht="15" x14ac:dyDescent="0.25">
      <c r="B12203"/>
      <c r="C12203"/>
      <c r="D12203"/>
      <c r="E12203"/>
      <c r="F12203"/>
      <c r="G12203" s="20"/>
      <c r="H12203"/>
      <c r="I12203"/>
    </row>
    <row r="12204" spans="2:9" ht="15" x14ac:dyDescent="0.25">
      <c r="B12204"/>
      <c r="C12204"/>
      <c r="D12204"/>
      <c r="E12204"/>
      <c r="F12204"/>
      <c r="G12204" s="20"/>
      <c r="H12204"/>
      <c r="I12204"/>
    </row>
    <row r="12205" spans="2:9" ht="15" x14ac:dyDescent="0.25">
      <c r="B12205"/>
      <c r="C12205"/>
      <c r="D12205"/>
      <c r="E12205"/>
      <c r="F12205"/>
      <c r="G12205" s="20"/>
      <c r="H12205"/>
      <c r="I12205"/>
    </row>
    <row r="12206" spans="2:9" ht="15" x14ac:dyDescent="0.25">
      <c r="B12206"/>
      <c r="C12206"/>
      <c r="D12206"/>
      <c r="E12206"/>
      <c r="F12206"/>
      <c r="G12206" s="20"/>
      <c r="H12206"/>
      <c r="I12206"/>
    </row>
    <row r="12207" spans="2:9" ht="15" x14ac:dyDescent="0.25">
      <c r="B12207"/>
      <c r="C12207"/>
      <c r="D12207"/>
      <c r="E12207"/>
      <c r="F12207"/>
      <c r="G12207" s="20"/>
      <c r="H12207"/>
      <c r="I12207"/>
    </row>
    <row r="12208" spans="2:9" ht="15" x14ac:dyDescent="0.25">
      <c r="B12208"/>
      <c r="C12208"/>
      <c r="D12208"/>
      <c r="E12208"/>
      <c r="F12208"/>
      <c r="G12208" s="20"/>
      <c r="H12208"/>
      <c r="I12208"/>
    </row>
    <row r="12209" spans="2:9" ht="15" x14ac:dyDescent="0.25">
      <c r="B12209"/>
      <c r="C12209"/>
      <c r="D12209"/>
      <c r="E12209"/>
      <c r="F12209"/>
      <c r="G12209" s="20"/>
      <c r="H12209"/>
      <c r="I12209"/>
    </row>
    <row r="12210" spans="2:9" ht="15" x14ac:dyDescent="0.25">
      <c r="B12210"/>
      <c r="C12210"/>
      <c r="D12210"/>
      <c r="E12210"/>
      <c r="F12210"/>
      <c r="G12210" s="20"/>
      <c r="H12210"/>
      <c r="I12210"/>
    </row>
    <row r="12211" spans="2:9" ht="15" x14ac:dyDescent="0.25">
      <c r="B12211"/>
      <c r="C12211"/>
      <c r="D12211"/>
      <c r="E12211"/>
      <c r="F12211"/>
      <c r="G12211" s="20"/>
      <c r="H12211"/>
      <c r="I12211"/>
    </row>
    <row r="12212" spans="2:9" ht="15" x14ac:dyDescent="0.25">
      <c r="B12212"/>
      <c r="C12212"/>
      <c r="D12212"/>
      <c r="E12212"/>
      <c r="F12212"/>
      <c r="G12212" s="20"/>
      <c r="H12212"/>
      <c r="I12212"/>
    </row>
    <row r="12213" spans="2:9" ht="15" x14ac:dyDescent="0.25">
      <c r="B12213"/>
      <c r="C12213"/>
      <c r="D12213"/>
      <c r="E12213"/>
      <c r="F12213"/>
      <c r="G12213" s="20"/>
      <c r="H12213"/>
      <c r="I12213"/>
    </row>
    <row r="12214" spans="2:9" ht="15" x14ac:dyDescent="0.25">
      <c r="B12214"/>
      <c r="C12214"/>
      <c r="D12214"/>
      <c r="E12214"/>
      <c r="F12214"/>
      <c r="G12214" s="20"/>
      <c r="H12214"/>
      <c r="I12214"/>
    </row>
    <row r="12215" spans="2:9" ht="15" x14ac:dyDescent="0.25">
      <c r="B12215"/>
      <c r="C12215"/>
      <c r="D12215"/>
      <c r="E12215"/>
      <c r="F12215"/>
      <c r="G12215" s="20"/>
      <c r="H12215"/>
      <c r="I12215"/>
    </row>
    <row r="12216" spans="2:9" ht="15" x14ac:dyDescent="0.25">
      <c r="B12216"/>
      <c r="C12216"/>
      <c r="D12216"/>
      <c r="E12216"/>
      <c r="F12216"/>
      <c r="G12216" s="20"/>
      <c r="H12216"/>
      <c r="I12216"/>
    </row>
    <row r="12217" spans="2:9" ht="15" x14ac:dyDescent="0.25">
      <c r="B12217"/>
      <c r="C12217"/>
      <c r="D12217"/>
      <c r="E12217"/>
      <c r="F12217"/>
      <c r="G12217" s="20"/>
      <c r="H12217"/>
      <c r="I12217"/>
    </row>
    <row r="12218" spans="2:9" ht="15" x14ac:dyDescent="0.25">
      <c r="B12218"/>
      <c r="C12218"/>
      <c r="D12218"/>
      <c r="E12218"/>
      <c r="F12218"/>
      <c r="G12218" s="20"/>
      <c r="H12218"/>
      <c r="I12218"/>
    </row>
    <row r="12219" spans="2:9" ht="15" x14ac:dyDescent="0.25">
      <c r="B12219"/>
      <c r="C12219"/>
      <c r="D12219"/>
      <c r="E12219"/>
      <c r="F12219"/>
      <c r="G12219" s="20"/>
      <c r="H12219"/>
      <c r="I12219"/>
    </row>
    <row r="12220" spans="2:9" ht="15" x14ac:dyDescent="0.25">
      <c r="B12220"/>
      <c r="C12220"/>
      <c r="D12220"/>
      <c r="E12220"/>
      <c r="F12220"/>
      <c r="G12220" s="20"/>
      <c r="H12220"/>
      <c r="I12220"/>
    </row>
    <row r="12221" spans="2:9" ht="15" x14ac:dyDescent="0.25">
      <c r="B12221"/>
      <c r="C12221"/>
      <c r="D12221"/>
      <c r="E12221"/>
      <c r="F12221"/>
      <c r="G12221" s="20"/>
      <c r="H12221"/>
      <c r="I12221"/>
    </row>
    <row r="12222" spans="2:9" ht="15" x14ac:dyDescent="0.25">
      <c r="B12222"/>
      <c r="C12222"/>
      <c r="D12222"/>
      <c r="E12222"/>
      <c r="F12222"/>
      <c r="G12222" s="20"/>
      <c r="H12222"/>
      <c r="I12222"/>
    </row>
    <row r="12223" spans="2:9" ht="15" x14ac:dyDescent="0.25">
      <c r="B12223"/>
      <c r="C12223"/>
      <c r="D12223"/>
      <c r="E12223"/>
      <c r="F12223"/>
      <c r="G12223" s="20"/>
      <c r="H12223"/>
      <c r="I12223"/>
    </row>
    <row r="12224" spans="2:9" ht="15" x14ac:dyDescent="0.25">
      <c r="B12224"/>
      <c r="C12224"/>
      <c r="D12224"/>
      <c r="E12224"/>
      <c r="F12224"/>
      <c r="G12224" s="20"/>
      <c r="H12224"/>
      <c r="I12224"/>
    </row>
    <row r="12225" spans="2:9" ht="15" x14ac:dyDescent="0.25">
      <c r="B12225"/>
      <c r="C12225"/>
      <c r="D12225"/>
      <c r="E12225"/>
      <c r="F12225"/>
      <c r="G12225" s="20"/>
      <c r="H12225"/>
      <c r="I12225"/>
    </row>
    <row r="12226" spans="2:9" ht="15" x14ac:dyDescent="0.25">
      <c r="B12226"/>
      <c r="C12226"/>
      <c r="D12226"/>
      <c r="E12226"/>
      <c r="F12226"/>
      <c r="G12226" s="20"/>
      <c r="H12226"/>
      <c r="I12226"/>
    </row>
    <row r="12227" spans="2:9" ht="15" x14ac:dyDescent="0.25">
      <c r="B12227"/>
      <c r="C12227"/>
      <c r="D12227"/>
      <c r="E12227"/>
      <c r="F12227"/>
      <c r="G12227" s="20"/>
      <c r="H12227"/>
      <c r="I12227"/>
    </row>
    <row r="12228" spans="2:9" ht="15" x14ac:dyDescent="0.25">
      <c r="B12228"/>
      <c r="C12228"/>
      <c r="D12228"/>
      <c r="E12228"/>
      <c r="F12228"/>
      <c r="G12228" s="20"/>
      <c r="H12228"/>
      <c r="I12228"/>
    </row>
    <row r="12229" spans="2:9" ht="15" x14ac:dyDescent="0.25">
      <c r="B12229"/>
      <c r="C12229"/>
      <c r="D12229"/>
      <c r="E12229"/>
      <c r="F12229"/>
      <c r="G12229" s="20"/>
      <c r="H12229"/>
      <c r="I12229"/>
    </row>
    <row r="12230" spans="2:9" ht="15" x14ac:dyDescent="0.25">
      <c r="B12230"/>
      <c r="C12230"/>
      <c r="D12230"/>
      <c r="E12230"/>
      <c r="F12230"/>
      <c r="G12230" s="20"/>
      <c r="H12230"/>
      <c r="I12230"/>
    </row>
    <row r="12231" spans="2:9" ht="15" x14ac:dyDescent="0.25">
      <c r="B12231"/>
      <c r="C12231"/>
      <c r="D12231"/>
      <c r="E12231"/>
      <c r="F12231"/>
      <c r="G12231" s="20"/>
      <c r="H12231"/>
      <c r="I12231"/>
    </row>
    <row r="12232" spans="2:9" ht="15" x14ac:dyDescent="0.25">
      <c r="B12232"/>
      <c r="C12232"/>
      <c r="D12232"/>
      <c r="E12232"/>
      <c r="F12232"/>
      <c r="G12232" s="20"/>
      <c r="H12232"/>
      <c r="I12232"/>
    </row>
    <row r="12233" spans="2:9" ht="15" x14ac:dyDescent="0.25">
      <c r="B12233"/>
      <c r="C12233"/>
      <c r="D12233"/>
      <c r="E12233"/>
      <c r="F12233"/>
      <c r="G12233" s="20"/>
      <c r="H12233"/>
      <c r="I12233"/>
    </row>
    <row r="12234" spans="2:9" ht="15" x14ac:dyDescent="0.25">
      <c r="B12234"/>
      <c r="C12234"/>
      <c r="D12234"/>
      <c r="E12234"/>
      <c r="F12234"/>
      <c r="G12234" s="20"/>
      <c r="H12234"/>
      <c r="I12234"/>
    </row>
    <row r="12235" spans="2:9" ht="15" x14ac:dyDescent="0.25">
      <c r="B12235"/>
      <c r="C12235"/>
      <c r="D12235"/>
      <c r="E12235"/>
      <c r="F12235"/>
      <c r="G12235" s="20"/>
      <c r="H12235"/>
      <c r="I12235"/>
    </row>
    <row r="12236" spans="2:9" ht="15" x14ac:dyDescent="0.25">
      <c r="B12236"/>
      <c r="C12236"/>
      <c r="D12236"/>
      <c r="E12236"/>
      <c r="F12236"/>
      <c r="G12236" s="20"/>
      <c r="H12236"/>
      <c r="I12236"/>
    </row>
    <row r="12237" spans="2:9" ht="15" x14ac:dyDescent="0.25">
      <c r="B12237"/>
      <c r="C12237"/>
      <c r="D12237"/>
      <c r="E12237"/>
      <c r="F12237"/>
      <c r="G12237" s="20"/>
      <c r="H12237"/>
      <c r="I12237"/>
    </row>
    <row r="12238" spans="2:9" ht="15" x14ac:dyDescent="0.25">
      <c r="B12238"/>
      <c r="C12238"/>
      <c r="D12238"/>
      <c r="E12238"/>
      <c r="F12238"/>
      <c r="G12238" s="20"/>
      <c r="H12238"/>
      <c r="I12238"/>
    </row>
    <row r="12239" spans="2:9" ht="15" x14ac:dyDescent="0.25">
      <c r="B12239"/>
      <c r="C12239"/>
      <c r="D12239"/>
      <c r="E12239"/>
      <c r="F12239"/>
      <c r="G12239" s="20"/>
      <c r="H12239"/>
      <c r="I12239"/>
    </row>
    <row r="12240" spans="2:9" ht="15" x14ac:dyDescent="0.25">
      <c r="B12240"/>
      <c r="C12240"/>
      <c r="D12240"/>
      <c r="E12240"/>
      <c r="F12240"/>
      <c r="G12240" s="20"/>
      <c r="H12240"/>
      <c r="I12240"/>
    </row>
    <row r="12241" spans="2:9" ht="15" x14ac:dyDescent="0.25">
      <c r="B12241"/>
      <c r="C12241"/>
      <c r="D12241"/>
      <c r="E12241"/>
      <c r="F12241"/>
      <c r="G12241" s="20"/>
      <c r="H12241"/>
      <c r="I12241"/>
    </row>
    <row r="12242" spans="2:9" ht="15" x14ac:dyDescent="0.25">
      <c r="B12242"/>
      <c r="C12242"/>
      <c r="D12242"/>
      <c r="E12242"/>
      <c r="F12242"/>
      <c r="G12242" s="20"/>
      <c r="H12242"/>
      <c r="I12242"/>
    </row>
    <row r="12243" spans="2:9" ht="15" x14ac:dyDescent="0.25">
      <c r="B12243"/>
      <c r="C12243"/>
      <c r="D12243"/>
      <c r="E12243"/>
      <c r="F12243"/>
      <c r="G12243" s="20"/>
      <c r="H12243"/>
      <c r="I12243"/>
    </row>
    <row r="12244" spans="2:9" ht="15" x14ac:dyDescent="0.25">
      <c r="B12244"/>
      <c r="C12244"/>
      <c r="D12244"/>
      <c r="E12244"/>
      <c r="F12244"/>
      <c r="G12244" s="20"/>
      <c r="H12244"/>
      <c r="I12244"/>
    </row>
    <row r="12245" spans="2:9" ht="15" x14ac:dyDescent="0.25">
      <c r="B12245"/>
      <c r="C12245"/>
      <c r="D12245"/>
      <c r="E12245"/>
      <c r="F12245"/>
      <c r="G12245" s="20"/>
      <c r="H12245"/>
      <c r="I12245"/>
    </row>
    <row r="12246" spans="2:9" ht="15" x14ac:dyDescent="0.25">
      <c r="B12246"/>
      <c r="C12246"/>
      <c r="D12246"/>
      <c r="E12246"/>
      <c r="F12246"/>
      <c r="G12246" s="20"/>
      <c r="H12246"/>
      <c r="I12246"/>
    </row>
    <row r="12247" spans="2:9" ht="15" x14ac:dyDescent="0.25">
      <c r="B12247"/>
      <c r="C12247"/>
      <c r="D12247"/>
      <c r="E12247"/>
      <c r="F12247"/>
      <c r="G12247" s="20"/>
      <c r="H12247"/>
      <c r="I12247"/>
    </row>
    <row r="12248" spans="2:9" ht="15" x14ac:dyDescent="0.25">
      <c r="B12248"/>
      <c r="C12248"/>
      <c r="D12248"/>
      <c r="E12248"/>
      <c r="F12248"/>
      <c r="G12248" s="20"/>
      <c r="H12248"/>
      <c r="I12248"/>
    </row>
    <row r="12249" spans="2:9" ht="15" x14ac:dyDescent="0.25">
      <c r="B12249"/>
      <c r="C12249"/>
      <c r="D12249"/>
      <c r="E12249"/>
      <c r="F12249"/>
      <c r="G12249" s="20"/>
      <c r="H12249"/>
      <c r="I12249"/>
    </row>
    <row r="12250" spans="2:9" ht="15" x14ac:dyDescent="0.25">
      <c r="B12250"/>
      <c r="C12250"/>
      <c r="D12250"/>
      <c r="E12250"/>
      <c r="F12250"/>
      <c r="G12250" s="20"/>
      <c r="H12250"/>
      <c r="I12250"/>
    </row>
    <row r="12251" spans="2:9" ht="15" x14ac:dyDescent="0.25">
      <c r="B12251"/>
      <c r="C12251"/>
      <c r="D12251"/>
      <c r="E12251"/>
      <c r="F12251"/>
      <c r="G12251" s="20"/>
      <c r="H12251"/>
      <c r="I12251"/>
    </row>
    <row r="12252" spans="2:9" ht="15" x14ac:dyDescent="0.25">
      <c r="B12252"/>
      <c r="C12252"/>
      <c r="D12252"/>
      <c r="E12252"/>
      <c r="F12252"/>
      <c r="G12252" s="20"/>
      <c r="H12252"/>
      <c r="I12252"/>
    </row>
    <row r="12253" spans="2:9" ht="15" x14ac:dyDescent="0.25">
      <c r="B12253"/>
      <c r="C12253"/>
      <c r="D12253"/>
      <c r="E12253"/>
      <c r="F12253"/>
      <c r="G12253" s="20"/>
      <c r="H12253"/>
      <c r="I12253"/>
    </row>
    <row r="12254" spans="2:9" ht="15" x14ac:dyDescent="0.25">
      <c r="B12254"/>
      <c r="C12254"/>
      <c r="D12254"/>
      <c r="E12254"/>
      <c r="F12254"/>
      <c r="G12254" s="20"/>
      <c r="H12254"/>
      <c r="I12254"/>
    </row>
    <row r="12255" spans="2:9" ht="15" x14ac:dyDescent="0.25">
      <c r="B12255"/>
      <c r="C12255"/>
      <c r="D12255"/>
      <c r="E12255"/>
      <c r="F12255"/>
      <c r="G12255" s="20"/>
      <c r="H12255"/>
      <c r="I12255"/>
    </row>
    <row r="12256" spans="2:9" ht="15" x14ac:dyDescent="0.25">
      <c r="B12256"/>
      <c r="C12256"/>
      <c r="D12256"/>
      <c r="E12256"/>
      <c r="F12256"/>
      <c r="G12256" s="20"/>
      <c r="H12256"/>
      <c r="I12256"/>
    </row>
    <row r="12257" spans="2:9" ht="15" x14ac:dyDescent="0.25">
      <c r="B12257"/>
      <c r="C12257"/>
      <c r="D12257"/>
      <c r="E12257"/>
      <c r="F12257"/>
      <c r="G12257" s="20"/>
      <c r="H12257"/>
      <c r="I12257"/>
    </row>
    <row r="12258" spans="2:9" ht="15" x14ac:dyDescent="0.25">
      <c r="B12258"/>
      <c r="C12258"/>
      <c r="D12258"/>
      <c r="E12258"/>
      <c r="F12258"/>
      <c r="G12258" s="20"/>
      <c r="H12258"/>
      <c r="I12258"/>
    </row>
    <row r="12259" spans="2:9" ht="15" x14ac:dyDescent="0.25">
      <c r="B12259"/>
      <c r="C12259"/>
      <c r="D12259"/>
      <c r="E12259"/>
      <c r="F12259"/>
      <c r="G12259" s="20"/>
      <c r="H12259"/>
      <c r="I12259"/>
    </row>
    <row r="12260" spans="2:9" ht="15" x14ac:dyDescent="0.25">
      <c r="B12260"/>
      <c r="C12260"/>
      <c r="D12260"/>
      <c r="E12260"/>
      <c r="F12260"/>
      <c r="G12260" s="20"/>
      <c r="H12260"/>
      <c r="I12260"/>
    </row>
    <row r="12261" spans="2:9" ht="15" x14ac:dyDescent="0.25">
      <c r="B12261"/>
      <c r="C12261"/>
      <c r="D12261"/>
      <c r="E12261"/>
      <c r="F12261"/>
      <c r="G12261" s="20"/>
      <c r="H12261"/>
      <c r="I12261"/>
    </row>
    <row r="12262" spans="2:9" ht="15" x14ac:dyDescent="0.25">
      <c r="B12262"/>
      <c r="C12262"/>
      <c r="D12262"/>
      <c r="E12262"/>
      <c r="F12262"/>
      <c r="G12262" s="20"/>
      <c r="H12262"/>
      <c r="I12262"/>
    </row>
    <row r="12263" spans="2:9" ht="15" x14ac:dyDescent="0.25">
      <c r="B12263"/>
      <c r="C12263"/>
      <c r="D12263"/>
      <c r="E12263"/>
      <c r="F12263"/>
      <c r="G12263" s="20"/>
      <c r="H12263"/>
      <c r="I12263"/>
    </row>
    <row r="12264" spans="2:9" ht="15" x14ac:dyDescent="0.25">
      <c r="B12264"/>
      <c r="C12264"/>
      <c r="D12264"/>
      <c r="E12264"/>
      <c r="F12264"/>
      <c r="G12264" s="20"/>
      <c r="H12264"/>
      <c r="I12264"/>
    </row>
    <row r="12265" spans="2:9" ht="15" x14ac:dyDescent="0.25">
      <c r="B12265"/>
      <c r="C12265"/>
      <c r="D12265"/>
      <c r="E12265"/>
      <c r="F12265"/>
      <c r="G12265" s="20"/>
      <c r="H12265"/>
      <c r="I12265"/>
    </row>
    <row r="12266" spans="2:9" ht="15" x14ac:dyDescent="0.25">
      <c r="B12266"/>
      <c r="C12266"/>
      <c r="D12266"/>
      <c r="E12266"/>
      <c r="F12266"/>
      <c r="G12266" s="20"/>
      <c r="H12266"/>
      <c r="I12266"/>
    </row>
    <row r="12267" spans="2:9" ht="15" x14ac:dyDescent="0.25">
      <c r="B12267"/>
      <c r="C12267"/>
      <c r="D12267"/>
      <c r="E12267"/>
      <c r="F12267"/>
      <c r="G12267" s="20"/>
      <c r="H12267"/>
      <c r="I12267"/>
    </row>
    <row r="12268" spans="2:9" ht="15" x14ac:dyDescent="0.25">
      <c r="B12268"/>
      <c r="C12268"/>
      <c r="D12268"/>
      <c r="E12268"/>
      <c r="F12268"/>
      <c r="G12268" s="20"/>
      <c r="H12268"/>
      <c r="I12268"/>
    </row>
    <row r="12269" spans="2:9" ht="15" x14ac:dyDescent="0.25">
      <c r="B12269"/>
      <c r="C12269"/>
      <c r="D12269"/>
      <c r="E12269"/>
      <c r="F12269"/>
      <c r="G12269" s="20"/>
      <c r="H12269"/>
      <c r="I12269"/>
    </row>
    <row r="12270" spans="2:9" ht="15" x14ac:dyDescent="0.25">
      <c r="B12270"/>
      <c r="C12270"/>
      <c r="D12270"/>
      <c r="E12270"/>
      <c r="F12270"/>
      <c r="G12270" s="20"/>
      <c r="H12270"/>
      <c r="I12270"/>
    </row>
    <row r="12271" spans="2:9" ht="15" x14ac:dyDescent="0.25">
      <c r="B12271"/>
      <c r="C12271"/>
      <c r="D12271"/>
      <c r="E12271"/>
      <c r="F12271"/>
      <c r="G12271" s="20"/>
      <c r="H12271"/>
      <c r="I12271"/>
    </row>
    <row r="12272" spans="2:9" ht="15" x14ac:dyDescent="0.25">
      <c r="B12272"/>
      <c r="C12272"/>
      <c r="D12272"/>
      <c r="E12272"/>
      <c r="F12272"/>
      <c r="G12272" s="20"/>
      <c r="H12272"/>
      <c r="I12272"/>
    </row>
    <row r="12273" spans="2:9" ht="15" x14ac:dyDescent="0.25">
      <c r="B12273"/>
      <c r="C12273"/>
      <c r="D12273"/>
      <c r="E12273"/>
      <c r="F12273"/>
      <c r="G12273" s="20"/>
      <c r="H12273"/>
      <c r="I12273"/>
    </row>
    <row r="12274" spans="2:9" ht="15" x14ac:dyDescent="0.25">
      <c r="B12274"/>
      <c r="C12274"/>
      <c r="D12274"/>
      <c r="E12274"/>
      <c r="F12274"/>
      <c r="G12274" s="20"/>
      <c r="H12274"/>
      <c r="I12274"/>
    </row>
    <row r="12275" spans="2:9" ht="15" x14ac:dyDescent="0.25">
      <c r="B12275"/>
      <c r="C12275"/>
      <c r="D12275"/>
      <c r="E12275"/>
      <c r="F12275"/>
      <c r="G12275" s="20"/>
      <c r="H12275"/>
      <c r="I12275"/>
    </row>
    <row r="12276" spans="2:9" ht="15" x14ac:dyDescent="0.25">
      <c r="B12276"/>
      <c r="C12276"/>
      <c r="D12276"/>
      <c r="E12276"/>
      <c r="F12276"/>
      <c r="G12276" s="20"/>
      <c r="H12276"/>
      <c r="I12276"/>
    </row>
    <row r="12277" spans="2:9" ht="15" x14ac:dyDescent="0.25">
      <c r="B12277"/>
      <c r="C12277"/>
      <c r="D12277"/>
      <c r="E12277"/>
      <c r="F12277"/>
      <c r="G12277" s="20"/>
      <c r="H12277"/>
      <c r="I12277"/>
    </row>
    <row r="12278" spans="2:9" ht="15" x14ac:dyDescent="0.25">
      <c r="B12278"/>
      <c r="C12278"/>
      <c r="D12278"/>
      <c r="E12278"/>
      <c r="F12278"/>
      <c r="G12278" s="20"/>
      <c r="H12278"/>
      <c r="I12278"/>
    </row>
    <row r="12279" spans="2:9" ht="15" x14ac:dyDescent="0.25">
      <c r="B12279"/>
      <c r="C12279"/>
      <c r="D12279"/>
      <c r="E12279"/>
      <c r="F12279"/>
      <c r="G12279" s="20"/>
      <c r="H12279"/>
      <c r="I12279"/>
    </row>
    <row r="12280" spans="2:9" ht="15" x14ac:dyDescent="0.25">
      <c r="B12280"/>
      <c r="C12280"/>
      <c r="D12280"/>
      <c r="E12280"/>
      <c r="F12280"/>
      <c r="G12280" s="20"/>
      <c r="H12280"/>
      <c r="I12280"/>
    </row>
    <row r="12281" spans="2:9" ht="15" x14ac:dyDescent="0.25">
      <c r="B12281"/>
      <c r="C12281"/>
      <c r="D12281"/>
      <c r="E12281"/>
      <c r="F12281"/>
      <c r="G12281" s="20"/>
      <c r="H12281"/>
      <c r="I12281"/>
    </row>
    <row r="12282" spans="2:9" ht="15" x14ac:dyDescent="0.25">
      <c r="B12282"/>
      <c r="C12282"/>
      <c r="D12282"/>
      <c r="E12282"/>
      <c r="F12282"/>
      <c r="G12282" s="20"/>
      <c r="H12282"/>
      <c r="I12282"/>
    </row>
    <row r="12283" spans="2:9" ht="15" x14ac:dyDescent="0.25">
      <c r="B12283"/>
      <c r="C12283"/>
      <c r="D12283"/>
      <c r="E12283"/>
      <c r="F12283"/>
      <c r="G12283" s="20"/>
      <c r="H12283"/>
      <c r="I12283"/>
    </row>
    <row r="12284" spans="2:9" ht="15" x14ac:dyDescent="0.25">
      <c r="B12284"/>
      <c r="C12284"/>
      <c r="D12284"/>
      <c r="E12284"/>
      <c r="F12284"/>
      <c r="G12284" s="20"/>
      <c r="H12284"/>
      <c r="I12284"/>
    </row>
    <row r="12285" spans="2:9" ht="15" x14ac:dyDescent="0.25">
      <c r="B12285"/>
      <c r="C12285"/>
      <c r="D12285"/>
      <c r="E12285"/>
      <c r="F12285"/>
      <c r="G12285" s="20"/>
      <c r="H12285"/>
      <c r="I12285"/>
    </row>
    <row r="12286" spans="2:9" ht="15" x14ac:dyDescent="0.25">
      <c r="B12286"/>
      <c r="C12286"/>
      <c r="D12286"/>
      <c r="E12286"/>
      <c r="F12286"/>
      <c r="G12286" s="20"/>
      <c r="H12286"/>
      <c r="I12286"/>
    </row>
    <row r="12287" spans="2:9" ht="15" x14ac:dyDescent="0.25">
      <c r="B12287"/>
      <c r="C12287"/>
      <c r="D12287"/>
      <c r="E12287"/>
      <c r="F12287"/>
      <c r="G12287" s="20"/>
      <c r="H12287"/>
      <c r="I12287"/>
    </row>
    <row r="12288" spans="2:9" ht="15" x14ac:dyDescent="0.25">
      <c r="B12288"/>
      <c r="C12288"/>
      <c r="D12288"/>
      <c r="E12288"/>
      <c r="F12288"/>
      <c r="G12288" s="20"/>
      <c r="H12288"/>
      <c r="I12288"/>
    </row>
    <row r="12289" spans="2:9" ht="15" x14ac:dyDescent="0.25">
      <c r="B12289"/>
      <c r="C12289"/>
      <c r="D12289"/>
      <c r="E12289"/>
      <c r="F12289"/>
      <c r="G12289" s="20"/>
      <c r="H12289"/>
      <c r="I12289"/>
    </row>
    <row r="12290" spans="2:9" ht="15" x14ac:dyDescent="0.25">
      <c r="B12290"/>
      <c r="C12290"/>
      <c r="D12290"/>
      <c r="E12290"/>
      <c r="F12290"/>
      <c r="G12290" s="20"/>
      <c r="H12290"/>
      <c r="I12290"/>
    </row>
    <row r="12291" spans="2:9" ht="15" x14ac:dyDescent="0.25">
      <c r="B12291"/>
      <c r="C12291"/>
      <c r="D12291"/>
      <c r="E12291"/>
      <c r="F12291"/>
      <c r="G12291" s="20"/>
      <c r="H12291"/>
      <c r="I12291"/>
    </row>
    <row r="12292" spans="2:9" ht="15" x14ac:dyDescent="0.25">
      <c r="B12292"/>
      <c r="C12292"/>
      <c r="D12292"/>
      <c r="E12292"/>
      <c r="F12292"/>
      <c r="G12292" s="20"/>
      <c r="H12292"/>
      <c r="I12292"/>
    </row>
    <row r="12293" spans="2:9" ht="15" x14ac:dyDescent="0.25">
      <c r="B12293"/>
      <c r="C12293"/>
      <c r="D12293"/>
      <c r="E12293"/>
      <c r="F12293"/>
      <c r="G12293" s="20"/>
      <c r="H12293"/>
      <c r="I12293"/>
    </row>
    <row r="12294" spans="2:9" ht="15" x14ac:dyDescent="0.25">
      <c r="B12294"/>
      <c r="C12294"/>
      <c r="D12294"/>
      <c r="E12294"/>
      <c r="F12294"/>
      <c r="G12294" s="20"/>
      <c r="H12294"/>
      <c r="I12294"/>
    </row>
    <row r="12295" spans="2:9" ht="15" x14ac:dyDescent="0.25">
      <c r="B12295"/>
      <c r="C12295"/>
      <c r="D12295"/>
      <c r="E12295"/>
      <c r="F12295"/>
      <c r="G12295" s="20"/>
      <c r="H12295"/>
      <c r="I12295"/>
    </row>
    <row r="12296" spans="2:9" ht="15" x14ac:dyDescent="0.25">
      <c r="B12296"/>
      <c r="C12296"/>
      <c r="D12296"/>
      <c r="E12296"/>
      <c r="F12296"/>
      <c r="G12296" s="20"/>
      <c r="H12296"/>
      <c r="I12296"/>
    </row>
    <row r="12297" spans="2:9" ht="15" x14ac:dyDescent="0.25">
      <c r="B12297"/>
      <c r="C12297"/>
      <c r="D12297"/>
      <c r="E12297"/>
      <c r="F12297"/>
      <c r="G12297" s="20"/>
      <c r="H12297"/>
      <c r="I12297"/>
    </row>
    <row r="12298" spans="2:9" ht="15" x14ac:dyDescent="0.25">
      <c r="B12298"/>
      <c r="C12298"/>
      <c r="D12298"/>
      <c r="E12298"/>
      <c r="F12298"/>
      <c r="G12298" s="20"/>
      <c r="H12298"/>
      <c r="I12298"/>
    </row>
    <row r="12299" spans="2:9" ht="15" x14ac:dyDescent="0.25">
      <c r="B12299"/>
      <c r="C12299"/>
      <c r="D12299"/>
      <c r="E12299"/>
      <c r="F12299"/>
      <c r="G12299" s="20"/>
      <c r="H12299"/>
      <c r="I12299"/>
    </row>
    <row r="12300" spans="2:9" ht="15" x14ac:dyDescent="0.25">
      <c r="B12300"/>
      <c r="C12300"/>
      <c r="D12300"/>
      <c r="E12300"/>
      <c r="F12300"/>
      <c r="G12300" s="20"/>
      <c r="H12300"/>
      <c r="I12300"/>
    </row>
    <row r="12301" spans="2:9" ht="15" x14ac:dyDescent="0.25">
      <c r="B12301"/>
      <c r="C12301"/>
      <c r="D12301"/>
      <c r="E12301"/>
      <c r="F12301"/>
      <c r="G12301" s="20"/>
      <c r="H12301"/>
      <c r="I12301"/>
    </row>
    <row r="12302" spans="2:9" ht="15" x14ac:dyDescent="0.25">
      <c r="B12302"/>
      <c r="C12302"/>
      <c r="D12302"/>
      <c r="E12302"/>
      <c r="F12302"/>
      <c r="G12302" s="20"/>
      <c r="H12302"/>
      <c r="I12302"/>
    </row>
    <row r="12303" spans="2:9" ht="15" x14ac:dyDescent="0.25">
      <c r="B12303"/>
      <c r="C12303"/>
      <c r="D12303"/>
      <c r="E12303"/>
      <c r="F12303"/>
      <c r="G12303" s="20"/>
      <c r="H12303"/>
      <c r="I12303"/>
    </row>
    <row r="12304" spans="2:9" ht="15" x14ac:dyDescent="0.25">
      <c r="B12304"/>
      <c r="C12304"/>
      <c r="D12304"/>
      <c r="E12304"/>
      <c r="F12304"/>
      <c r="G12304" s="20"/>
      <c r="H12304"/>
      <c r="I12304"/>
    </row>
    <row r="12305" spans="2:9" ht="15" x14ac:dyDescent="0.25">
      <c r="B12305"/>
      <c r="C12305"/>
      <c r="D12305"/>
      <c r="E12305"/>
      <c r="F12305"/>
      <c r="G12305" s="20"/>
      <c r="H12305"/>
      <c r="I12305"/>
    </row>
    <row r="12306" spans="2:9" ht="15" x14ac:dyDescent="0.25">
      <c r="B12306"/>
      <c r="C12306"/>
      <c r="D12306"/>
      <c r="E12306"/>
      <c r="F12306"/>
      <c r="G12306" s="20"/>
      <c r="H12306"/>
      <c r="I12306"/>
    </row>
    <row r="12307" spans="2:9" ht="15" x14ac:dyDescent="0.25">
      <c r="B12307"/>
      <c r="C12307"/>
      <c r="D12307"/>
      <c r="E12307"/>
      <c r="F12307"/>
      <c r="G12307" s="20"/>
      <c r="H12307"/>
      <c r="I12307"/>
    </row>
    <row r="12308" spans="2:9" ht="15" x14ac:dyDescent="0.25">
      <c r="B12308"/>
      <c r="C12308"/>
      <c r="D12308"/>
      <c r="E12308"/>
      <c r="F12308"/>
      <c r="G12308" s="20"/>
      <c r="H12308"/>
      <c r="I12308"/>
    </row>
    <row r="12309" spans="2:9" ht="15" x14ac:dyDescent="0.25">
      <c r="B12309"/>
      <c r="C12309"/>
      <c r="D12309"/>
      <c r="E12309"/>
      <c r="F12309"/>
      <c r="G12309" s="20"/>
      <c r="H12309"/>
      <c r="I12309"/>
    </row>
    <row r="12310" spans="2:9" ht="15" x14ac:dyDescent="0.25">
      <c r="B12310"/>
      <c r="C12310"/>
      <c r="D12310"/>
      <c r="E12310"/>
      <c r="F12310"/>
      <c r="G12310" s="20"/>
      <c r="H12310"/>
      <c r="I12310"/>
    </row>
    <row r="12311" spans="2:9" ht="15" x14ac:dyDescent="0.25">
      <c r="B12311"/>
      <c r="C12311"/>
      <c r="D12311"/>
      <c r="E12311"/>
      <c r="F12311"/>
      <c r="G12311" s="20"/>
      <c r="H12311"/>
      <c r="I12311"/>
    </row>
    <row r="12312" spans="2:9" ht="15" x14ac:dyDescent="0.25">
      <c r="B12312"/>
      <c r="C12312"/>
      <c r="D12312"/>
      <c r="E12312"/>
      <c r="F12312"/>
      <c r="G12312" s="20"/>
      <c r="H12312"/>
      <c r="I12312"/>
    </row>
    <row r="12313" spans="2:9" ht="15" x14ac:dyDescent="0.25">
      <c r="B12313"/>
      <c r="C12313"/>
      <c r="D12313"/>
      <c r="E12313"/>
      <c r="F12313"/>
      <c r="G12313" s="20"/>
      <c r="H12313"/>
      <c r="I12313"/>
    </row>
    <row r="12314" spans="2:9" ht="15" x14ac:dyDescent="0.25">
      <c r="B12314"/>
      <c r="C12314"/>
      <c r="D12314"/>
      <c r="E12314"/>
      <c r="F12314"/>
      <c r="G12314" s="20"/>
      <c r="H12314"/>
      <c r="I12314"/>
    </row>
    <row r="12315" spans="2:9" ht="15" x14ac:dyDescent="0.25">
      <c r="B12315"/>
      <c r="C12315"/>
      <c r="D12315"/>
      <c r="E12315"/>
      <c r="F12315"/>
      <c r="G12315" s="20"/>
      <c r="H12315"/>
      <c r="I12315"/>
    </row>
    <row r="12316" spans="2:9" ht="15" x14ac:dyDescent="0.25">
      <c r="B12316"/>
      <c r="C12316"/>
      <c r="D12316"/>
      <c r="E12316"/>
      <c r="F12316"/>
      <c r="G12316" s="20"/>
      <c r="H12316"/>
      <c r="I12316"/>
    </row>
    <row r="12317" spans="2:9" ht="15" x14ac:dyDescent="0.25">
      <c r="B12317"/>
      <c r="C12317"/>
      <c r="D12317"/>
      <c r="E12317"/>
      <c r="F12317"/>
      <c r="G12317" s="20"/>
      <c r="H12317"/>
      <c r="I12317"/>
    </row>
    <row r="12318" spans="2:9" ht="15" x14ac:dyDescent="0.25">
      <c r="B12318"/>
      <c r="C12318"/>
      <c r="D12318"/>
      <c r="E12318"/>
      <c r="F12318"/>
      <c r="G12318" s="20"/>
      <c r="H12318"/>
      <c r="I12318"/>
    </row>
    <row r="12319" spans="2:9" ht="15" x14ac:dyDescent="0.25">
      <c r="B12319"/>
      <c r="C12319"/>
      <c r="D12319"/>
      <c r="E12319"/>
      <c r="F12319"/>
      <c r="G12319" s="20"/>
      <c r="H12319"/>
      <c r="I12319"/>
    </row>
    <row r="12320" spans="2:9" ht="15" x14ac:dyDescent="0.25">
      <c r="B12320"/>
      <c r="C12320"/>
      <c r="D12320"/>
      <c r="E12320"/>
      <c r="F12320"/>
      <c r="G12320" s="20"/>
      <c r="H12320"/>
      <c r="I12320"/>
    </row>
    <row r="12321" spans="2:9" ht="15" x14ac:dyDescent="0.25">
      <c r="B12321"/>
      <c r="C12321"/>
      <c r="D12321"/>
      <c r="E12321"/>
      <c r="F12321"/>
      <c r="G12321" s="20"/>
      <c r="H12321"/>
      <c r="I12321"/>
    </row>
    <row r="12322" spans="2:9" ht="15" x14ac:dyDescent="0.25">
      <c r="B12322"/>
      <c r="C12322"/>
      <c r="D12322"/>
      <c r="E12322"/>
      <c r="F12322"/>
      <c r="G12322" s="20"/>
      <c r="H12322"/>
      <c r="I12322"/>
    </row>
    <row r="12323" spans="2:9" ht="15" x14ac:dyDescent="0.25">
      <c r="B12323"/>
      <c r="C12323"/>
      <c r="D12323"/>
      <c r="E12323"/>
      <c r="F12323"/>
      <c r="G12323" s="20"/>
      <c r="H12323"/>
      <c r="I12323"/>
    </row>
    <row r="12324" spans="2:9" ht="15" x14ac:dyDescent="0.25">
      <c r="B12324"/>
      <c r="C12324"/>
      <c r="D12324"/>
      <c r="E12324"/>
      <c r="F12324"/>
      <c r="G12324" s="20"/>
      <c r="H12324"/>
      <c r="I12324"/>
    </row>
    <row r="12325" spans="2:9" ht="15" x14ac:dyDescent="0.25">
      <c r="B12325"/>
      <c r="C12325"/>
      <c r="D12325"/>
      <c r="E12325"/>
      <c r="F12325"/>
      <c r="G12325" s="20"/>
      <c r="H12325"/>
      <c r="I12325"/>
    </row>
    <row r="12326" spans="2:9" ht="15" x14ac:dyDescent="0.25">
      <c r="B12326"/>
      <c r="C12326"/>
      <c r="D12326"/>
      <c r="E12326"/>
      <c r="F12326"/>
      <c r="G12326" s="20"/>
      <c r="H12326"/>
      <c r="I12326"/>
    </row>
    <row r="12327" spans="2:9" ht="15" x14ac:dyDescent="0.25">
      <c r="B12327"/>
      <c r="C12327"/>
      <c r="D12327"/>
      <c r="E12327"/>
      <c r="F12327"/>
      <c r="G12327" s="20"/>
      <c r="H12327"/>
      <c r="I12327"/>
    </row>
    <row r="12328" spans="2:9" ht="15" x14ac:dyDescent="0.25">
      <c r="B12328"/>
      <c r="C12328"/>
      <c r="D12328"/>
      <c r="E12328"/>
      <c r="F12328"/>
      <c r="G12328" s="20"/>
      <c r="H12328"/>
      <c r="I12328"/>
    </row>
    <row r="12329" spans="2:9" ht="15" x14ac:dyDescent="0.25">
      <c r="B12329"/>
      <c r="C12329"/>
      <c r="D12329"/>
      <c r="E12329"/>
      <c r="F12329"/>
      <c r="G12329" s="20"/>
      <c r="H12329"/>
      <c r="I12329"/>
    </row>
    <row r="12330" spans="2:9" ht="15" x14ac:dyDescent="0.25">
      <c r="B12330"/>
      <c r="C12330"/>
      <c r="D12330"/>
      <c r="E12330"/>
      <c r="F12330"/>
      <c r="G12330" s="20"/>
      <c r="H12330"/>
      <c r="I12330"/>
    </row>
    <row r="12331" spans="2:9" ht="15" x14ac:dyDescent="0.25">
      <c r="B12331"/>
      <c r="C12331"/>
      <c r="D12331"/>
      <c r="E12331"/>
      <c r="F12331"/>
      <c r="G12331" s="20"/>
      <c r="H12331"/>
      <c r="I12331"/>
    </row>
    <row r="12332" spans="2:9" ht="15" x14ac:dyDescent="0.25">
      <c r="B12332"/>
      <c r="C12332"/>
      <c r="D12332"/>
      <c r="E12332"/>
      <c r="F12332"/>
      <c r="G12332" s="20"/>
      <c r="H12332"/>
      <c r="I12332"/>
    </row>
    <row r="12333" spans="2:9" ht="15" x14ac:dyDescent="0.25">
      <c r="B12333"/>
      <c r="C12333"/>
      <c r="D12333"/>
      <c r="E12333"/>
      <c r="F12333"/>
      <c r="G12333" s="20"/>
      <c r="H12333"/>
      <c r="I12333"/>
    </row>
    <row r="12334" spans="2:9" ht="15" x14ac:dyDescent="0.25">
      <c r="B12334"/>
      <c r="C12334"/>
      <c r="D12334"/>
      <c r="E12334"/>
      <c r="F12334"/>
      <c r="G12334" s="20"/>
      <c r="H12334"/>
      <c r="I12334"/>
    </row>
    <row r="12335" spans="2:9" ht="15" x14ac:dyDescent="0.25">
      <c r="B12335"/>
      <c r="C12335"/>
      <c r="D12335"/>
      <c r="E12335"/>
      <c r="F12335"/>
      <c r="G12335" s="20"/>
      <c r="H12335"/>
      <c r="I12335"/>
    </row>
    <row r="12336" spans="2:9" ht="15" x14ac:dyDescent="0.25">
      <c r="B12336"/>
      <c r="C12336"/>
      <c r="D12336"/>
      <c r="E12336"/>
      <c r="F12336"/>
      <c r="G12336" s="20"/>
      <c r="H12336"/>
      <c r="I12336"/>
    </row>
    <row r="12337" spans="2:9" ht="15" x14ac:dyDescent="0.25">
      <c r="B12337"/>
      <c r="C12337"/>
      <c r="D12337"/>
      <c r="E12337"/>
      <c r="F12337"/>
      <c r="G12337" s="20"/>
      <c r="H12337"/>
      <c r="I12337"/>
    </row>
    <row r="12338" spans="2:9" ht="15" x14ac:dyDescent="0.25">
      <c r="B12338"/>
      <c r="C12338"/>
      <c r="D12338"/>
      <c r="E12338"/>
      <c r="F12338"/>
      <c r="G12338" s="20"/>
      <c r="H12338"/>
      <c r="I12338"/>
    </row>
    <row r="12339" spans="2:9" ht="15" x14ac:dyDescent="0.25">
      <c r="B12339"/>
      <c r="C12339"/>
      <c r="D12339"/>
      <c r="E12339"/>
      <c r="F12339"/>
      <c r="G12339" s="20"/>
      <c r="H12339"/>
      <c r="I12339"/>
    </row>
    <row r="12340" spans="2:9" ht="15" x14ac:dyDescent="0.25">
      <c r="B12340"/>
      <c r="C12340"/>
      <c r="D12340"/>
      <c r="E12340"/>
      <c r="F12340"/>
      <c r="G12340" s="20"/>
      <c r="H12340"/>
      <c r="I12340"/>
    </row>
    <row r="12341" spans="2:9" ht="15" x14ac:dyDescent="0.25">
      <c r="B12341"/>
      <c r="C12341"/>
      <c r="D12341"/>
      <c r="E12341"/>
      <c r="F12341"/>
      <c r="G12341" s="20"/>
      <c r="H12341"/>
      <c r="I12341"/>
    </row>
    <row r="12342" spans="2:9" ht="15" x14ac:dyDescent="0.25">
      <c r="B12342"/>
      <c r="C12342"/>
      <c r="D12342"/>
      <c r="E12342"/>
      <c r="F12342"/>
      <c r="G12342" s="20"/>
      <c r="H12342"/>
      <c r="I12342"/>
    </row>
    <row r="12343" spans="2:9" ht="15" x14ac:dyDescent="0.25">
      <c r="B12343"/>
      <c r="C12343"/>
      <c r="D12343"/>
      <c r="E12343"/>
      <c r="F12343"/>
      <c r="G12343" s="20"/>
      <c r="H12343"/>
      <c r="I12343"/>
    </row>
    <row r="12344" spans="2:9" ht="15" x14ac:dyDescent="0.25">
      <c r="B12344"/>
      <c r="C12344"/>
      <c r="D12344"/>
      <c r="E12344"/>
      <c r="F12344"/>
      <c r="G12344" s="20"/>
      <c r="H12344"/>
      <c r="I12344"/>
    </row>
    <row r="12345" spans="2:9" ht="15" x14ac:dyDescent="0.25">
      <c r="B12345"/>
      <c r="C12345"/>
      <c r="D12345"/>
      <c r="E12345"/>
      <c r="F12345"/>
      <c r="G12345" s="20"/>
      <c r="H12345"/>
      <c r="I12345"/>
    </row>
    <row r="12346" spans="2:9" ht="15" x14ac:dyDescent="0.25">
      <c r="B12346"/>
      <c r="C12346"/>
      <c r="D12346"/>
      <c r="E12346"/>
      <c r="F12346"/>
      <c r="G12346" s="20"/>
      <c r="H12346"/>
      <c r="I12346"/>
    </row>
    <row r="12347" spans="2:9" ht="15" x14ac:dyDescent="0.25">
      <c r="B12347"/>
      <c r="C12347"/>
      <c r="D12347"/>
      <c r="E12347"/>
      <c r="F12347"/>
      <c r="G12347" s="20"/>
      <c r="H12347"/>
      <c r="I12347"/>
    </row>
    <row r="12348" spans="2:9" ht="15" x14ac:dyDescent="0.25">
      <c r="B12348"/>
      <c r="C12348"/>
      <c r="D12348"/>
      <c r="E12348"/>
      <c r="F12348"/>
      <c r="G12348" s="20"/>
      <c r="H12348"/>
      <c r="I12348"/>
    </row>
    <row r="12349" spans="2:9" ht="15" x14ac:dyDescent="0.25">
      <c r="B12349"/>
      <c r="C12349"/>
      <c r="D12349"/>
      <c r="E12349"/>
      <c r="F12349"/>
      <c r="G12349" s="20"/>
      <c r="H12349"/>
      <c r="I12349"/>
    </row>
    <row r="12350" spans="2:9" ht="15" x14ac:dyDescent="0.25">
      <c r="B12350"/>
      <c r="C12350"/>
      <c r="D12350"/>
      <c r="E12350"/>
      <c r="F12350"/>
      <c r="G12350" s="20"/>
      <c r="H12350"/>
      <c r="I12350"/>
    </row>
    <row r="12351" spans="2:9" ht="15" x14ac:dyDescent="0.25">
      <c r="B12351"/>
      <c r="C12351"/>
      <c r="D12351"/>
      <c r="E12351"/>
      <c r="F12351"/>
      <c r="G12351" s="20"/>
      <c r="H12351"/>
      <c r="I12351"/>
    </row>
    <row r="12352" spans="2:9" ht="15" x14ac:dyDescent="0.25">
      <c r="B12352"/>
      <c r="C12352"/>
      <c r="D12352"/>
      <c r="E12352"/>
      <c r="F12352"/>
      <c r="G12352" s="20"/>
      <c r="H12352"/>
      <c r="I12352"/>
    </row>
    <row r="12353" spans="2:9" ht="15" x14ac:dyDescent="0.25">
      <c r="B12353"/>
      <c r="C12353"/>
      <c r="D12353"/>
      <c r="E12353"/>
      <c r="F12353"/>
      <c r="G12353" s="20"/>
      <c r="H12353"/>
      <c r="I12353"/>
    </row>
    <row r="12354" spans="2:9" ht="15" x14ac:dyDescent="0.25">
      <c r="B12354"/>
      <c r="C12354"/>
      <c r="D12354"/>
      <c r="E12354"/>
      <c r="F12354"/>
      <c r="G12354" s="20"/>
      <c r="H12354"/>
      <c r="I12354"/>
    </row>
    <row r="12355" spans="2:9" ht="15" x14ac:dyDescent="0.25">
      <c r="B12355"/>
      <c r="C12355"/>
      <c r="D12355"/>
      <c r="E12355"/>
      <c r="F12355"/>
      <c r="G12355" s="20"/>
      <c r="H12355"/>
      <c r="I12355"/>
    </row>
    <row r="12356" spans="2:9" ht="15" x14ac:dyDescent="0.25">
      <c r="B12356"/>
      <c r="C12356"/>
      <c r="D12356"/>
      <c r="E12356"/>
      <c r="F12356"/>
      <c r="G12356" s="20"/>
      <c r="H12356"/>
      <c r="I12356"/>
    </row>
    <row r="12357" spans="2:9" ht="15" x14ac:dyDescent="0.25">
      <c r="B12357"/>
      <c r="C12357"/>
      <c r="D12357"/>
      <c r="E12357"/>
      <c r="F12357"/>
      <c r="G12357" s="20"/>
      <c r="H12357"/>
      <c r="I12357"/>
    </row>
    <row r="12358" spans="2:9" ht="15" x14ac:dyDescent="0.25">
      <c r="B12358"/>
      <c r="C12358"/>
      <c r="D12358"/>
      <c r="E12358"/>
      <c r="F12358"/>
      <c r="G12358" s="20"/>
      <c r="H12358"/>
      <c r="I12358"/>
    </row>
    <row r="12359" spans="2:9" ht="15" x14ac:dyDescent="0.25">
      <c r="B12359"/>
      <c r="C12359"/>
      <c r="D12359"/>
      <c r="E12359"/>
      <c r="F12359"/>
      <c r="G12359" s="20"/>
      <c r="H12359"/>
      <c r="I12359"/>
    </row>
    <row r="12360" spans="2:9" ht="15" x14ac:dyDescent="0.25">
      <c r="B12360"/>
      <c r="C12360"/>
      <c r="D12360"/>
      <c r="E12360"/>
      <c r="F12360"/>
      <c r="G12360" s="20"/>
      <c r="H12360"/>
      <c r="I12360"/>
    </row>
    <row r="12361" spans="2:9" ht="15" x14ac:dyDescent="0.25">
      <c r="B12361"/>
      <c r="C12361"/>
      <c r="D12361"/>
      <c r="E12361"/>
      <c r="F12361"/>
      <c r="G12361" s="20"/>
      <c r="H12361"/>
      <c r="I12361"/>
    </row>
    <row r="12362" spans="2:9" ht="15" x14ac:dyDescent="0.25">
      <c r="B12362"/>
      <c r="C12362"/>
      <c r="D12362"/>
      <c r="E12362"/>
      <c r="F12362"/>
      <c r="G12362" s="20"/>
      <c r="H12362"/>
      <c r="I12362"/>
    </row>
    <row r="12363" spans="2:9" ht="15" x14ac:dyDescent="0.25">
      <c r="B12363"/>
      <c r="C12363"/>
      <c r="D12363"/>
      <c r="E12363"/>
      <c r="F12363"/>
      <c r="G12363" s="20"/>
      <c r="H12363"/>
      <c r="I12363"/>
    </row>
    <row r="12364" spans="2:9" ht="15" x14ac:dyDescent="0.25">
      <c r="B12364"/>
      <c r="C12364"/>
      <c r="D12364"/>
      <c r="E12364"/>
      <c r="F12364"/>
      <c r="G12364" s="20"/>
      <c r="H12364"/>
      <c r="I12364"/>
    </row>
    <row r="12365" spans="2:9" ht="15" x14ac:dyDescent="0.25">
      <c r="B12365"/>
      <c r="C12365"/>
      <c r="D12365"/>
      <c r="E12365"/>
      <c r="F12365"/>
      <c r="G12365" s="20"/>
      <c r="H12365"/>
      <c r="I12365"/>
    </row>
    <row r="12366" spans="2:9" ht="15" x14ac:dyDescent="0.25">
      <c r="B12366"/>
      <c r="C12366"/>
      <c r="D12366"/>
      <c r="E12366"/>
      <c r="F12366"/>
      <c r="G12366" s="20"/>
      <c r="H12366"/>
      <c r="I12366"/>
    </row>
    <row r="12367" spans="2:9" ht="15" x14ac:dyDescent="0.25">
      <c r="B12367"/>
      <c r="C12367"/>
      <c r="D12367"/>
      <c r="E12367"/>
      <c r="F12367"/>
      <c r="G12367" s="20"/>
      <c r="H12367"/>
      <c r="I12367"/>
    </row>
    <row r="12368" spans="2:9" ht="15" x14ac:dyDescent="0.25">
      <c r="B12368"/>
      <c r="C12368"/>
      <c r="D12368"/>
      <c r="E12368"/>
      <c r="F12368"/>
      <c r="G12368" s="20"/>
      <c r="H12368"/>
      <c r="I12368"/>
    </row>
    <row r="12369" spans="2:9" ht="15" x14ac:dyDescent="0.25">
      <c r="B12369"/>
      <c r="C12369"/>
      <c r="D12369"/>
      <c r="E12369"/>
      <c r="F12369"/>
      <c r="G12369" s="20"/>
      <c r="H12369"/>
      <c r="I12369"/>
    </row>
    <row r="12370" spans="2:9" ht="15" x14ac:dyDescent="0.25">
      <c r="B12370"/>
      <c r="C12370"/>
      <c r="D12370"/>
      <c r="E12370"/>
      <c r="F12370"/>
      <c r="G12370" s="20"/>
      <c r="H12370"/>
      <c r="I12370"/>
    </row>
    <row r="12371" spans="2:9" ht="15" x14ac:dyDescent="0.25">
      <c r="B12371"/>
      <c r="C12371"/>
      <c r="D12371"/>
      <c r="E12371"/>
      <c r="F12371"/>
      <c r="G12371" s="20"/>
      <c r="H12371"/>
      <c r="I12371"/>
    </row>
    <row r="12372" spans="2:9" ht="15" x14ac:dyDescent="0.25">
      <c r="B12372"/>
      <c r="C12372"/>
      <c r="D12372"/>
      <c r="E12372"/>
      <c r="F12372"/>
      <c r="G12372" s="20"/>
      <c r="H12372"/>
      <c r="I12372"/>
    </row>
    <row r="12373" spans="2:9" ht="15" x14ac:dyDescent="0.25">
      <c r="B12373"/>
      <c r="C12373"/>
      <c r="D12373"/>
      <c r="E12373"/>
      <c r="F12373"/>
      <c r="G12373" s="20"/>
      <c r="H12373"/>
      <c r="I12373"/>
    </row>
    <row r="12374" spans="2:9" ht="15" x14ac:dyDescent="0.25">
      <c r="B12374"/>
      <c r="C12374"/>
      <c r="D12374"/>
      <c r="E12374"/>
      <c r="F12374"/>
      <c r="G12374" s="20"/>
      <c r="H12374"/>
      <c r="I12374"/>
    </row>
    <row r="12375" spans="2:9" ht="15" x14ac:dyDescent="0.25">
      <c r="B12375"/>
      <c r="C12375"/>
      <c r="D12375"/>
      <c r="E12375"/>
      <c r="F12375"/>
      <c r="G12375" s="20"/>
      <c r="H12375"/>
      <c r="I12375"/>
    </row>
    <row r="12376" spans="2:9" ht="15" x14ac:dyDescent="0.25">
      <c r="B12376"/>
      <c r="C12376"/>
      <c r="D12376"/>
      <c r="E12376"/>
      <c r="F12376"/>
      <c r="G12376" s="20"/>
      <c r="H12376"/>
      <c r="I12376"/>
    </row>
    <row r="12377" spans="2:9" ht="15" x14ac:dyDescent="0.25">
      <c r="B12377"/>
      <c r="C12377"/>
      <c r="D12377"/>
      <c r="E12377"/>
      <c r="F12377"/>
      <c r="G12377" s="20"/>
      <c r="H12377"/>
      <c r="I12377"/>
    </row>
    <row r="12378" spans="2:9" ht="15" x14ac:dyDescent="0.25">
      <c r="B12378"/>
      <c r="C12378"/>
      <c r="D12378"/>
      <c r="E12378"/>
      <c r="F12378"/>
      <c r="G12378" s="20"/>
      <c r="H12378"/>
      <c r="I12378"/>
    </row>
    <row r="12379" spans="2:9" ht="15" x14ac:dyDescent="0.25">
      <c r="B12379"/>
      <c r="C12379"/>
      <c r="D12379"/>
      <c r="E12379"/>
      <c r="F12379"/>
      <c r="G12379" s="20"/>
      <c r="H12379"/>
      <c r="I12379"/>
    </row>
    <row r="12380" spans="2:9" ht="15" x14ac:dyDescent="0.25">
      <c r="B12380"/>
      <c r="C12380"/>
      <c r="D12380"/>
      <c r="E12380"/>
      <c r="F12380"/>
      <c r="G12380" s="20"/>
      <c r="H12380"/>
      <c r="I12380"/>
    </row>
    <row r="12381" spans="2:9" ht="15" x14ac:dyDescent="0.25">
      <c r="B12381"/>
      <c r="C12381"/>
      <c r="D12381"/>
      <c r="E12381"/>
      <c r="F12381"/>
      <c r="G12381" s="20"/>
      <c r="H12381"/>
      <c r="I12381"/>
    </row>
    <row r="12382" spans="2:9" ht="15" x14ac:dyDescent="0.25">
      <c r="B12382"/>
      <c r="C12382"/>
      <c r="D12382"/>
      <c r="E12382"/>
      <c r="F12382"/>
      <c r="G12382" s="20"/>
      <c r="H12382"/>
      <c r="I12382"/>
    </row>
    <row r="12383" spans="2:9" ht="15" x14ac:dyDescent="0.25">
      <c r="B12383"/>
      <c r="C12383"/>
      <c r="D12383"/>
      <c r="E12383"/>
      <c r="F12383"/>
      <c r="G12383" s="20"/>
      <c r="H12383"/>
      <c r="I12383"/>
    </row>
    <row r="12384" spans="2:9" ht="15" x14ac:dyDescent="0.25">
      <c r="B12384"/>
      <c r="C12384"/>
      <c r="D12384"/>
      <c r="E12384"/>
      <c r="F12384"/>
      <c r="G12384" s="20"/>
      <c r="H12384"/>
      <c r="I12384"/>
    </row>
    <row r="12385" spans="2:9" ht="15" x14ac:dyDescent="0.25">
      <c r="B12385"/>
      <c r="C12385"/>
      <c r="D12385"/>
      <c r="E12385"/>
      <c r="F12385"/>
      <c r="G12385" s="20"/>
      <c r="H12385"/>
      <c r="I12385"/>
    </row>
    <row r="12386" spans="2:9" ht="15" x14ac:dyDescent="0.25">
      <c r="B12386"/>
      <c r="C12386"/>
      <c r="D12386"/>
      <c r="E12386"/>
      <c r="F12386"/>
      <c r="G12386" s="20"/>
      <c r="H12386"/>
      <c r="I12386"/>
    </row>
    <row r="12387" spans="2:9" ht="15" x14ac:dyDescent="0.25">
      <c r="B12387"/>
      <c r="C12387"/>
      <c r="D12387"/>
      <c r="E12387"/>
      <c r="F12387"/>
      <c r="G12387" s="20"/>
      <c r="H12387"/>
      <c r="I12387"/>
    </row>
    <row r="12388" spans="2:9" ht="15" x14ac:dyDescent="0.25">
      <c r="B12388"/>
      <c r="C12388"/>
      <c r="D12388"/>
      <c r="E12388"/>
      <c r="F12388"/>
      <c r="G12388" s="20"/>
      <c r="H12388"/>
      <c r="I12388"/>
    </row>
    <row r="12389" spans="2:9" ht="15" x14ac:dyDescent="0.25">
      <c r="B12389"/>
      <c r="C12389"/>
      <c r="D12389"/>
      <c r="E12389"/>
      <c r="F12389"/>
      <c r="G12389" s="20"/>
      <c r="H12389"/>
      <c r="I12389"/>
    </row>
    <row r="12390" spans="2:9" ht="15" x14ac:dyDescent="0.25">
      <c r="B12390"/>
      <c r="C12390"/>
      <c r="D12390"/>
      <c r="E12390"/>
      <c r="F12390"/>
      <c r="G12390" s="20"/>
      <c r="H12390"/>
      <c r="I12390"/>
    </row>
    <row r="12391" spans="2:9" ht="15" x14ac:dyDescent="0.25">
      <c r="B12391"/>
      <c r="C12391"/>
      <c r="D12391"/>
      <c r="E12391"/>
      <c r="F12391"/>
      <c r="G12391" s="20"/>
      <c r="H12391"/>
      <c r="I12391"/>
    </row>
    <row r="12392" spans="2:9" ht="15" x14ac:dyDescent="0.25">
      <c r="B12392"/>
      <c r="C12392"/>
      <c r="D12392"/>
      <c r="E12392"/>
      <c r="F12392"/>
      <c r="G12392" s="20"/>
      <c r="H12392"/>
      <c r="I12392"/>
    </row>
    <row r="12393" spans="2:9" ht="15" x14ac:dyDescent="0.25">
      <c r="B12393"/>
      <c r="C12393"/>
      <c r="D12393"/>
      <c r="E12393"/>
      <c r="F12393"/>
      <c r="G12393" s="20"/>
      <c r="H12393"/>
      <c r="I12393"/>
    </row>
    <row r="12394" spans="2:9" ht="15" x14ac:dyDescent="0.25">
      <c r="B12394"/>
      <c r="C12394"/>
      <c r="D12394"/>
      <c r="E12394"/>
      <c r="F12394"/>
      <c r="G12394" s="20"/>
      <c r="H12394"/>
      <c r="I12394"/>
    </row>
    <row r="12395" spans="2:9" ht="15" x14ac:dyDescent="0.25">
      <c r="B12395"/>
      <c r="C12395"/>
      <c r="D12395"/>
      <c r="E12395"/>
      <c r="F12395"/>
      <c r="G12395" s="20"/>
      <c r="H12395"/>
      <c r="I12395"/>
    </row>
    <row r="12396" spans="2:9" ht="15" x14ac:dyDescent="0.25">
      <c r="B12396"/>
      <c r="C12396"/>
      <c r="D12396"/>
      <c r="E12396"/>
      <c r="F12396"/>
      <c r="G12396" s="20"/>
      <c r="H12396"/>
      <c r="I12396"/>
    </row>
    <row r="12397" spans="2:9" ht="15" x14ac:dyDescent="0.25">
      <c r="B12397"/>
      <c r="C12397"/>
      <c r="D12397"/>
      <c r="E12397"/>
      <c r="F12397"/>
      <c r="G12397" s="20"/>
      <c r="H12397"/>
      <c r="I12397"/>
    </row>
    <row r="12398" spans="2:9" ht="15" x14ac:dyDescent="0.25">
      <c r="B12398"/>
      <c r="C12398"/>
      <c r="D12398"/>
      <c r="E12398"/>
      <c r="F12398"/>
      <c r="G12398" s="20"/>
      <c r="H12398"/>
      <c r="I12398"/>
    </row>
    <row r="12399" spans="2:9" ht="15" x14ac:dyDescent="0.25">
      <c r="B12399"/>
      <c r="C12399"/>
      <c r="D12399"/>
      <c r="E12399"/>
      <c r="F12399"/>
      <c r="G12399" s="20"/>
      <c r="H12399"/>
      <c r="I12399"/>
    </row>
    <row r="12400" spans="2:9" ht="15" x14ac:dyDescent="0.25">
      <c r="B12400"/>
      <c r="C12400"/>
      <c r="D12400"/>
      <c r="E12400"/>
      <c r="F12400"/>
      <c r="G12400" s="20"/>
      <c r="H12400"/>
      <c r="I12400"/>
    </row>
    <row r="12401" spans="2:9" ht="15" x14ac:dyDescent="0.25">
      <c r="B12401"/>
      <c r="C12401"/>
      <c r="D12401"/>
      <c r="E12401"/>
      <c r="F12401"/>
      <c r="G12401" s="20"/>
      <c r="H12401"/>
      <c r="I12401"/>
    </row>
    <row r="12402" spans="2:9" ht="15" x14ac:dyDescent="0.25">
      <c r="B12402"/>
      <c r="C12402"/>
      <c r="D12402"/>
      <c r="E12402"/>
      <c r="F12402"/>
      <c r="G12402" s="20"/>
      <c r="H12402"/>
      <c r="I12402"/>
    </row>
    <row r="12403" spans="2:9" ht="15" x14ac:dyDescent="0.25">
      <c r="B12403"/>
      <c r="C12403"/>
      <c r="D12403"/>
      <c r="E12403"/>
      <c r="F12403"/>
      <c r="G12403" s="20"/>
      <c r="H12403"/>
      <c r="I12403"/>
    </row>
    <row r="12404" spans="2:9" ht="15" x14ac:dyDescent="0.25">
      <c r="B12404"/>
      <c r="C12404"/>
      <c r="D12404"/>
      <c r="E12404"/>
      <c r="F12404"/>
      <c r="G12404" s="20"/>
      <c r="H12404"/>
      <c r="I12404"/>
    </row>
    <row r="12405" spans="2:9" ht="15" x14ac:dyDescent="0.25">
      <c r="B12405"/>
      <c r="C12405"/>
      <c r="D12405"/>
      <c r="E12405"/>
      <c r="F12405"/>
      <c r="G12405" s="20"/>
      <c r="H12405"/>
      <c r="I12405"/>
    </row>
    <row r="12406" spans="2:9" ht="15" x14ac:dyDescent="0.25">
      <c r="B12406"/>
      <c r="C12406"/>
      <c r="D12406"/>
      <c r="E12406"/>
      <c r="F12406"/>
      <c r="G12406" s="20"/>
      <c r="H12406"/>
      <c r="I12406"/>
    </row>
    <row r="12407" spans="2:9" ht="15" x14ac:dyDescent="0.25">
      <c r="B12407"/>
      <c r="C12407"/>
      <c r="D12407"/>
      <c r="E12407"/>
      <c r="F12407"/>
      <c r="G12407" s="20"/>
      <c r="H12407"/>
      <c r="I12407"/>
    </row>
    <row r="12408" spans="2:9" ht="15" x14ac:dyDescent="0.25">
      <c r="B12408"/>
      <c r="C12408"/>
      <c r="D12408"/>
      <c r="E12408"/>
      <c r="F12408"/>
      <c r="G12408" s="20"/>
      <c r="H12408"/>
      <c r="I12408"/>
    </row>
    <row r="12409" spans="2:9" ht="15" x14ac:dyDescent="0.25">
      <c r="B12409"/>
      <c r="C12409"/>
      <c r="D12409"/>
      <c r="E12409"/>
      <c r="F12409"/>
      <c r="G12409" s="20"/>
      <c r="H12409"/>
      <c r="I12409"/>
    </row>
    <row r="12410" spans="2:9" ht="15" x14ac:dyDescent="0.25">
      <c r="B12410"/>
      <c r="C12410"/>
      <c r="D12410"/>
      <c r="E12410"/>
      <c r="F12410"/>
      <c r="G12410" s="20"/>
      <c r="H12410"/>
      <c r="I12410"/>
    </row>
    <row r="12411" spans="2:9" ht="15" x14ac:dyDescent="0.25">
      <c r="B12411"/>
      <c r="C12411"/>
      <c r="D12411"/>
      <c r="E12411"/>
      <c r="F12411"/>
      <c r="G12411" s="20"/>
      <c r="H12411"/>
      <c r="I12411"/>
    </row>
    <row r="12412" spans="2:9" ht="15" x14ac:dyDescent="0.25">
      <c r="B12412"/>
      <c r="C12412"/>
      <c r="D12412"/>
      <c r="E12412"/>
      <c r="F12412"/>
      <c r="G12412" s="20"/>
      <c r="H12412"/>
      <c r="I12412"/>
    </row>
    <row r="12413" spans="2:9" ht="15" x14ac:dyDescent="0.25">
      <c r="B12413"/>
      <c r="C12413"/>
      <c r="D12413"/>
      <c r="E12413"/>
      <c r="F12413"/>
      <c r="G12413" s="20"/>
      <c r="H12413"/>
      <c r="I12413"/>
    </row>
    <row r="12414" spans="2:9" ht="15" x14ac:dyDescent="0.25">
      <c r="B12414"/>
      <c r="C12414"/>
      <c r="D12414"/>
      <c r="E12414"/>
      <c r="F12414"/>
      <c r="G12414" s="20"/>
      <c r="H12414"/>
      <c r="I12414"/>
    </row>
    <row r="12415" spans="2:9" ht="15" x14ac:dyDescent="0.25">
      <c r="B12415"/>
      <c r="C12415"/>
      <c r="D12415"/>
      <c r="E12415"/>
      <c r="F12415"/>
      <c r="G12415" s="20"/>
      <c r="H12415"/>
      <c r="I12415"/>
    </row>
    <row r="12416" spans="2:9" ht="15" x14ac:dyDescent="0.25">
      <c r="B12416"/>
      <c r="C12416"/>
      <c r="D12416"/>
      <c r="E12416"/>
      <c r="F12416"/>
      <c r="G12416" s="20"/>
      <c r="H12416"/>
      <c r="I12416"/>
    </row>
    <row r="12417" spans="2:9" ht="15" x14ac:dyDescent="0.25">
      <c r="B12417"/>
      <c r="C12417"/>
      <c r="D12417"/>
      <c r="E12417"/>
      <c r="F12417"/>
      <c r="G12417" s="20"/>
      <c r="H12417"/>
      <c r="I12417"/>
    </row>
    <row r="12418" spans="2:9" ht="15" x14ac:dyDescent="0.25">
      <c r="B12418"/>
      <c r="C12418"/>
      <c r="D12418"/>
      <c r="E12418"/>
      <c r="F12418"/>
      <c r="G12418" s="20"/>
      <c r="H12418"/>
      <c r="I12418"/>
    </row>
    <row r="12419" spans="2:9" ht="15" x14ac:dyDescent="0.25">
      <c r="B12419"/>
      <c r="C12419"/>
      <c r="D12419"/>
      <c r="E12419"/>
      <c r="F12419"/>
      <c r="G12419" s="20"/>
      <c r="H12419"/>
      <c r="I12419"/>
    </row>
    <row r="12420" spans="2:9" ht="15" x14ac:dyDescent="0.25">
      <c r="B12420"/>
      <c r="C12420"/>
      <c r="D12420"/>
      <c r="E12420"/>
      <c r="F12420"/>
      <c r="G12420" s="20"/>
      <c r="H12420"/>
      <c r="I12420"/>
    </row>
    <row r="12421" spans="2:9" ht="15" x14ac:dyDescent="0.25">
      <c r="B12421"/>
      <c r="C12421"/>
      <c r="D12421"/>
      <c r="E12421"/>
      <c r="F12421"/>
      <c r="G12421" s="20"/>
      <c r="H12421"/>
      <c r="I12421"/>
    </row>
    <row r="12422" spans="2:9" ht="15" x14ac:dyDescent="0.25">
      <c r="B12422"/>
      <c r="C12422"/>
      <c r="D12422"/>
      <c r="E12422"/>
      <c r="F12422"/>
      <c r="G12422" s="20"/>
      <c r="H12422"/>
      <c r="I12422"/>
    </row>
    <row r="12423" spans="2:9" ht="15" x14ac:dyDescent="0.25">
      <c r="B12423"/>
      <c r="C12423"/>
      <c r="D12423"/>
      <c r="E12423"/>
      <c r="F12423"/>
      <c r="G12423" s="20"/>
      <c r="H12423"/>
      <c r="I12423"/>
    </row>
    <row r="12424" spans="2:9" ht="15" x14ac:dyDescent="0.25">
      <c r="B12424"/>
      <c r="C12424"/>
      <c r="D12424"/>
      <c r="E12424"/>
      <c r="F12424"/>
      <c r="G12424" s="20"/>
      <c r="H12424"/>
      <c r="I12424"/>
    </row>
    <row r="12425" spans="2:9" ht="15" x14ac:dyDescent="0.25">
      <c r="B12425"/>
      <c r="C12425"/>
      <c r="D12425"/>
      <c r="E12425"/>
      <c r="F12425"/>
      <c r="G12425" s="20"/>
      <c r="H12425"/>
      <c r="I12425"/>
    </row>
    <row r="12426" spans="2:9" ht="15" x14ac:dyDescent="0.25">
      <c r="B12426"/>
      <c r="C12426"/>
      <c r="D12426"/>
      <c r="E12426"/>
      <c r="F12426"/>
      <c r="G12426" s="20"/>
      <c r="H12426"/>
      <c r="I12426"/>
    </row>
    <row r="12427" spans="2:9" ht="15" x14ac:dyDescent="0.25">
      <c r="B12427"/>
      <c r="C12427"/>
      <c r="D12427"/>
      <c r="E12427"/>
      <c r="F12427"/>
      <c r="G12427" s="20"/>
      <c r="H12427"/>
      <c r="I12427"/>
    </row>
    <row r="12428" spans="2:9" ht="15" x14ac:dyDescent="0.25">
      <c r="B12428"/>
      <c r="C12428"/>
      <c r="D12428"/>
      <c r="E12428"/>
      <c r="F12428"/>
      <c r="G12428" s="20"/>
      <c r="H12428"/>
      <c r="I12428"/>
    </row>
    <row r="12429" spans="2:9" ht="15" x14ac:dyDescent="0.25">
      <c r="B12429"/>
      <c r="C12429"/>
      <c r="D12429"/>
      <c r="E12429"/>
      <c r="F12429"/>
      <c r="G12429" s="20"/>
      <c r="H12429"/>
      <c r="I12429"/>
    </row>
    <row r="12430" spans="2:9" ht="15" x14ac:dyDescent="0.25">
      <c r="B12430"/>
      <c r="C12430"/>
      <c r="D12430"/>
      <c r="E12430"/>
      <c r="F12430"/>
      <c r="G12430" s="20"/>
      <c r="H12430"/>
      <c r="I12430"/>
    </row>
    <row r="12431" spans="2:9" ht="15" x14ac:dyDescent="0.25">
      <c r="B12431"/>
      <c r="C12431"/>
      <c r="D12431"/>
      <c r="E12431"/>
      <c r="F12431"/>
      <c r="G12431" s="20"/>
      <c r="H12431"/>
      <c r="I12431"/>
    </row>
    <row r="12432" spans="2:9" ht="15" x14ac:dyDescent="0.25">
      <c r="B12432"/>
      <c r="C12432"/>
      <c r="D12432"/>
      <c r="E12432"/>
      <c r="F12432"/>
      <c r="G12432" s="20"/>
      <c r="H12432"/>
      <c r="I12432"/>
    </row>
    <row r="12433" spans="2:9" ht="15" x14ac:dyDescent="0.25">
      <c r="B12433"/>
      <c r="C12433"/>
      <c r="D12433"/>
      <c r="E12433"/>
      <c r="F12433"/>
      <c r="G12433" s="20"/>
      <c r="H12433"/>
      <c r="I12433"/>
    </row>
    <row r="12434" spans="2:9" ht="15" x14ac:dyDescent="0.25">
      <c r="B12434"/>
      <c r="C12434"/>
      <c r="D12434"/>
      <c r="E12434"/>
      <c r="F12434"/>
      <c r="G12434" s="20"/>
      <c r="H12434"/>
      <c r="I12434"/>
    </row>
    <row r="12435" spans="2:9" ht="15" x14ac:dyDescent="0.25">
      <c r="B12435"/>
      <c r="C12435"/>
      <c r="D12435"/>
      <c r="E12435"/>
      <c r="F12435"/>
      <c r="G12435" s="20"/>
      <c r="H12435"/>
      <c r="I12435"/>
    </row>
    <row r="12436" spans="2:9" ht="15" x14ac:dyDescent="0.25">
      <c r="B12436"/>
      <c r="C12436"/>
      <c r="D12436"/>
      <c r="E12436"/>
      <c r="F12436"/>
      <c r="G12436" s="20"/>
      <c r="H12436"/>
      <c r="I12436"/>
    </row>
    <row r="12437" spans="2:9" ht="15" x14ac:dyDescent="0.25">
      <c r="B12437"/>
      <c r="C12437"/>
      <c r="D12437"/>
      <c r="E12437"/>
      <c r="F12437"/>
      <c r="G12437" s="20"/>
      <c r="H12437"/>
      <c r="I12437"/>
    </row>
    <row r="12438" spans="2:9" ht="15" x14ac:dyDescent="0.25">
      <c r="B12438"/>
      <c r="C12438"/>
      <c r="D12438"/>
      <c r="E12438"/>
      <c r="F12438"/>
      <c r="G12438" s="20"/>
      <c r="H12438"/>
      <c r="I12438"/>
    </row>
    <row r="12439" spans="2:9" ht="15" x14ac:dyDescent="0.25">
      <c r="B12439"/>
      <c r="C12439"/>
      <c r="D12439"/>
      <c r="E12439"/>
      <c r="F12439"/>
      <c r="G12439" s="20"/>
      <c r="H12439"/>
      <c r="I12439"/>
    </row>
    <row r="12440" spans="2:9" ht="15" x14ac:dyDescent="0.25">
      <c r="B12440"/>
      <c r="C12440"/>
      <c r="D12440"/>
      <c r="E12440"/>
      <c r="F12440"/>
      <c r="G12440" s="20"/>
      <c r="H12440"/>
      <c r="I12440"/>
    </row>
    <row r="12441" spans="2:9" ht="15" x14ac:dyDescent="0.25">
      <c r="B12441"/>
      <c r="C12441"/>
      <c r="D12441"/>
      <c r="E12441"/>
      <c r="F12441"/>
      <c r="G12441" s="20"/>
      <c r="H12441"/>
      <c r="I12441"/>
    </row>
    <row r="12442" spans="2:9" ht="15" x14ac:dyDescent="0.25">
      <c r="B12442"/>
      <c r="C12442"/>
      <c r="D12442"/>
      <c r="E12442"/>
      <c r="F12442"/>
      <c r="G12442" s="20"/>
      <c r="H12442"/>
      <c r="I12442"/>
    </row>
    <row r="12443" spans="2:9" ht="15" x14ac:dyDescent="0.25">
      <c r="B12443"/>
      <c r="C12443"/>
      <c r="D12443"/>
      <c r="E12443"/>
      <c r="F12443"/>
      <c r="G12443" s="20"/>
      <c r="H12443"/>
      <c r="I12443"/>
    </row>
    <row r="12444" spans="2:9" ht="15" x14ac:dyDescent="0.25">
      <c r="B12444"/>
      <c r="C12444"/>
      <c r="D12444"/>
      <c r="E12444"/>
      <c r="F12444"/>
      <c r="G12444" s="20"/>
      <c r="H12444"/>
      <c r="I12444"/>
    </row>
    <row r="12445" spans="2:9" ht="15" x14ac:dyDescent="0.25">
      <c r="B12445"/>
      <c r="C12445"/>
      <c r="D12445"/>
      <c r="E12445"/>
      <c r="F12445"/>
      <c r="G12445" s="20"/>
      <c r="H12445"/>
      <c r="I12445"/>
    </row>
    <row r="12446" spans="2:9" ht="15" x14ac:dyDescent="0.25">
      <c r="B12446"/>
      <c r="C12446"/>
      <c r="D12446"/>
      <c r="E12446"/>
      <c r="F12446"/>
      <c r="G12446" s="20"/>
      <c r="H12446"/>
      <c r="I12446"/>
    </row>
    <row r="12447" spans="2:9" ht="15" x14ac:dyDescent="0.25">
      <c r="B12447"/>
      <c r="C12447"/>
      <c r="D12447"/>
      <c r="E12447"/>
      <c r="F12447"/>
      <c r="G12447" s="20"/>
      <c r="H12447"/>
      <c r="I12447"/>
    </row>
    <row r="12448" spans="2:9" ht="15" x14ac:dyDescent="0.25">
      <c r="B12448"/>
      <c r="C12448"/>
      <c r="D12448"/>
      <c r="E12448"/>
      <c r="F12448"/>
      <c r="G12448" s="20"/>
      <c r="H12448"/>
      <c r="I12448"/>
    </row>
    <row r="12449" spans="2:9" ht="15" x14ac:dyDescent="0.25">
      <c r="B12449"/>
      <c r="C12449"/>
      <c r="D12449"/>
      <c r="E12449"/>
      <c r="F12449"/>
      <c r="G12449" s="20"/>
      <c r="H12449"/>
      <c r="I12449"/>
    </row>
    <row r="12450" spans="2:9" ht="15" x14ac:dyDescent="0.25">
      <c r="B12450"/>
      <c r="C12450"/>
      <c r="D12450"/>
      <c r="E12450"/>
      <c r="F12450"/>
      <c r="G12450" s="20"/>
      <c r="H12450"/>
      <c r="I12450"/>
    </row>
    <row r="12451" spans="2:9" ht="15" x14ac:dyDescent="0.25">
      <c r="B12451"/>
      <c r="C12451"/>
      <c r="D12451"/>
      <c r="E12451"/>
      <c r="F12451"/>
      <c r="G12451" s="20"/>
      <c r="H12451"/>
      <c r="I12451"/>
    </row>
    <row r="12452" spans="2:9" ht="15" x14ac:dyDescent="0.25">
      <c r="B12452"/>
      <c r="C12452"/>
      <c r="D12452"/>
      <c r="E12452"/>
      <c r="F12452"/>
      <c r="G12452" s="20"/>
      <c r="H12452"/>
      <c r="I12452"/>
    </row>
    <row r="12453" spans="2:9" ht="15" x14ac:dyDescent="0.25">
      <c r="B12453"/>
      <c r="C12453"/>
      <c r="D12453"/>
      <c r="E12453"/>
      <c r="F12453"/>
      <c r="G12453" s="20"/>
      <c r="H12453"/>
      <c r="I12453"/>
    </row>
    <row r="12454" spans="2:9" ht="15" x14ac:dyDescent="0.25">
      <c r="B12454"/>
      <c r="C12454"/>
      <c r="D12454"/>
      <c r="E12454"/>
      <c r="F12454"/>
      <c r="G12454" s="20"/>
      <c r="H12454"/>
      <c r="I12454"/>
    </row>
    <row r="12455" spans="2:9" ht="15" x14ac:dyDescent="0.25">
      <c r="B12455"/>
      <c r="C12455"/>
      <c r="D12455"/>
      <c r="E12455"/>
      <c r="F12455"/>
      <c r="G12455" s="20"/>
      <c r="H12455"/>
      <c r="I12455"/>
    </row>
    <row r="12456" spans="2:9" ht="15" x14ac:dyDescent="0.25">
      <c r="B12456"/>
      <c r="C12456"/>
      <c r="D12456"/>
      <c r="E12456"/>
      <c r="F12456"/>
      <c r="G12456" s="20"/>
      <c r="H12456"/>
      <c r="I12456"/>
    </row>
    <row r="12457" spans="2:9" ht="15" x14ac:dyDescent="0.25">
      <c r="B12457"/>
      <c r="C12457"/>
      <c r="D12457"/>
      <c r="E12457"/>
      <c r="F12457"/>
      <c r="G12457" s="20"/>
      <c r="H12457"/>
      <c r="I12457"/>
    </row>
    <row r="12458" spans="2:9" ht="15" x14ac:dyDescent="0.25">
      <c r="B12458"/>
      <c r="C12458"/>
      <c r="D12458"/>
      <c r="E12458"/>
      <c r="F12458"/>
      <c r="G12458" s="20"/>
      <c r="H12458"/>
      <c r="I12458"/>
    </row>
    <row r="12459" spans="2:9" ht="15" x14ac:dyDescent="0.25">
      <c r="B12459"/>
      <c r="C12459"/>
      <c r="D12459"/>
      <c r="E12459"/>
      <c r="F12459"/>
      <c r="G12459" s="20"/>
      <c r="H12459"/>
      <c r="I12459"/>
    </row>
    <row r="12460" spans="2:9" ht="15" x14ac:dyDescent="0.25">
      <c r="B12460"/>
      <c r="C12460"/>
      <c r="D12460"/>
      <c r="E12460"/>
      <c r="F12460"/>
      <c r="G12460" s="20"/>
      <c r="H12460"/>
      <c r="I12460"/>
    </row>
    <row r="12461" spans="2:9" ht="15" x14ac:dyDescent="0.25">
      <c r="B12461"/>
      <c r="C12461"/>
      <c r="D12461"/>
      <c r="E12461"/>
      <c r="F12461"/>
      <c r="G12461" s="20"/>
      <c r="H12461"/>
      <c r="I12461"/>
    </row>
    <row r="12462" spans="2:9" ht="15" x14ac:dyDescent="0.25">
      <c r="B12462"/>
      <c r="C12462"/>
      <c r="D12462"/>
      <c r="E12462"/>
      <c r="F12462"/>
      <c r="G12462" s="20"/>
      <c r="H12462"/>
      <c r="I12462"/>
    </row>
    <row r="12463" spans="2:9" ht="15" x14ac:dyDescent="0.25">
      <c r="B12463"/>
      <c r="C12463"/>
      <c r="D12463"/>
      <c r="E12463"/>
      <c r="F12463"/>
      <c r="G12463" s="20"/>
      <c r="H12463"/>
      <c r="I12463"/>
    </row>
    <row r="12464" spans="2:9" ht="15" x14ac:dyDescent="0.25">
      <c r="B12464"/>
      <c r="C12464"/>
      <c r="D12464"/>
      <c r="E12464"/>
      <c r="F12464"/>
      <c r="G12464" s="20"/>
      <c r="H12464"/>
      <c r="I12464"/>
    </row>
    <row r="12465" spans="2:9" ht="15" x14ac:dyDescent="0.25">
      <c r="B12465"/>
      <c r="C12465"/>
      <c r="D12465"/>
      <c r="E12465"/>
      <c r="F12465"/>
      <c r="G12465" s="20"/>
      <c r="H12465"/>
      <c r="I12465"/>
    </row>
    <row r="12466" spans="2:9" ht="15" x14ac:dyDescent="0.25">
      <c r="B12466"/>
      <c r="C12466"/>
      <c r="D12466"/>
      <c r="E12466"/>
      <c r="F12466"/>
      <c r="G12466" s="20"/>
      <c r="H12466"/>
      <c r="I12466"/>
    </row>
    <row r="12467" spans="2:9" ht="15" x14ac:dyDescent="0.25">
      <c r="B12467"/>
      <c r="C12467"/>
      <c r="D12467"/>
      <c r="E12467"/>
      <c r="F12467"/>
      <c r="G12467" s="20"/>
      <c r="H12467"/>
      <c r="I12467"/>
    </row>
    <row r="12468" spans="2:9" ht="15" x14ac:dyDescent="0.25">
      <c r="B12468"/>
      <c r="C12468"/>
      <c r="D12468"/>
      <c r="E12468"/>
      <c r="F12468"/>
      <c r="G12468" s="20"/>
      <c r="H12468"/>
      <c r="I12468"/>
    </row>
    <row r="12469" spans="2:9" ht="15" x14ac:dyDescent="0.25">
      <c r="B12469"/>
      <c r="C12469"/>
      <c r="D12469"/>
      <c r="E12469"/>
      <c r="F12469"/>
      <c r="G12469" s="20"/>
      <c r="H12469"/>
      <c r="I12469"/>
    </row>
    <row r="12470" spans="2:9" ht="15" x14ac:dyDescent="0.25">
      <c r="B12470"/>
      <c r="C12470"/>
      <c r="D12470"/>
      <c r="E12470"/>
      <c r="F12470"/>
      <c r="G12470" s="20"/>
      <c r="H12470"/>
      <c r="I12470"/>
    </row>
    <row r="12471" spans="2:9" ht="15" x14ac:dyDescent="0.25">
      <c r="B12471"/>
      <c r="C12471"/>
      <c r="D12471"/>
      <c r="E12471"/>
      <c r="F12471"/>
      <c r="G12471" s="20"/>
      <c r="H12471"/>
      <c r="I12471"/>
    </row>
    <row r="12472" spans="2:9" ht="15" x14ac:dyDescent="0.25">
      <c r="B12472"/>
      <c r="C12472"/>
      <c r="D12472"/>
      <c r="E12472"/>
      <c r="F12472"/>
      <c r="G12472" s="20"/>
      <c r="H12472"/>
      <c r="I12472"/>
    </row>
    <row r="12473" spans="2:9" ht="15" x14ac:dyDescent="0.25">
      <c r="B12473"/>
      <c r="C12473"/>
      <c r="D12473"/>
      <c r="E12473"/>
      <c r="F12473"/>
      <c r="G12473" s="20"/>
      <c r="H12473"/>
      <c r="I12473"/>
    </row>
    <row r="12474" spans="2:9" ht="15" x14ac:dyDescent="0.25">
      <c r="B12474"/>
      <c r="C12474"/>
      <c r="D12474"/>
      <c r="E12474"/>
      <c r="F12474"/>
      <c r="G12474" s="20"/>
      <c r="H12474"/>
      <c r="I12474"/>
    </row>
    <row r="12475" spans="2:9" ht="15" x14ac:dyDescent="0.25">
      <c r="B12475"/>
      <c r="C12475"/>
      <c r="D12475"/>
      <c r="E12475"/>
      <c r="F12475"/>
      <c r="G12475" s="20"/>
      <c r="H12475"/>
      <c r="I12475"/>
    </row>
    <row r="12476" spans="2:9" ht="15" x14ac:dyDescent="0.25">
      <c r="B12476"/>
      <c r="C12476"/>
      <c r="D12476"/>
      <c r="E12476"/>
      <c r="F12476"/>
      <c r="G12476" s="20"/>
      <c r="H12476"/>
      <c r="I12476"/>
    </row>
    <row r="12477" spans="2:9" ht="15" x14ac:dyDescent="0.25">
      <c r="B12477"/>
      <c r="C12477"/>
      <c r="D12477"/>
      <c r="E12477"/>
      <c r="F12477"/>
      <c r="G12477" s="20"/>
      <c r="H12477"/>
      <c r="I12477"/>
    </row>
    <row r="12478" spans="2:9" ht="15" x14ac:dyDescent="0.25">
      <c r="B12478"/>
      <c r="C12478"/>
      <c r="D12478"/>
      <c r="E12478"/>
      <c r="F12478"/>
      <c r="G12478" s="20"/>
      <c r="H12478"/>
      <c r="I12478"/>
    </row>
    <row r="12479" spans="2:9" ht="15" x14ac:dyDescent="0.25">
      <c r="B12479"/>
      <c r="C12479"/>
      <c r="D12479"/>
      <c r="E12479"/>
      <c r="F12479"/>
      <c r="G12479" s="20"/>
      <c r="H12479"/>
      <c r="I12479"/>
    </row>
    <row r="12480" spans="2:9" ht="15" x14ac:dyDescent="0.25">
      <c r="B12480"/>
      <c r="C12480"/>
      <c r="D12480"/>
      <c r="E12480"/>
      <c r="F12480"/>
      <c r="G12480" s="20"/>
      <c r="H12480"/>
      <c r="I12480"/>
    </row>
    <row r="12481" spans="2:9" ht="15" x14ac:dyDescent="0.25">
      <c r="B12481"/>
      <c r="C12481"/>
      <c r="D12481"/>
      <c r="E12481"/>
      <c r="F12481"/>
      <c r="G12481" s="20"/>
      <c r="H12481"/>
      <c r="I12481"/>
    </row>
    <row r="12482" spans="2:9" ht="15" x14ac:dyDescent="0.25">
      <c r="B12482"/>
      <c r="C12482"/>
      <c r="D12482"/>
      <c r="E12482"/>
      <c r="F12482"/>
      <c r="G12482" s="20"/>
      <c r="H12482"/>
      <c r="I12482"/>
    </row>
    <row r="12483" spans="2:9" ht="15" x14ac:dyDescent="0.25">
      <c r="B12483"/>
      <c r="C12483"/>
      <c r="D12483"/>
      <c r="E12483"/>
      <c r="F12483"/>
      <c r="G12483" s="20"/>
      <c r="H12483"/>
      <c r="I12483"/>
    </row>
    <row r="12484" spans="2:9" ht="15" x14ac:dyDescent="0.25">
      <c r="B12484"/>
      <c r="C12484"/>
      <c r="D12484"/>
      <c r="E12484"/>
      <c r="F12484"/>
      <c r="G12484" s="20"/>
      <c r="H12484"/>
      <c r="I12484"/>
    </row>
    <row r="12485" spans="2:9" ht="15" x14ac:dyDescent="0.25">
      <c r="B12485"/>
      <c r="C12485"/>
      <c r="D12485"/>
      <c r="E12485"/>
      <c r="F12485"/>
      <c r="G12485" s="20"/>
      <c r="H12485"/>
      <c r="I12485"/>
    </row>
    <row r="12486" spans="2:9" ht="15" x14ac:dyDescent="0.25">
      <c r="B12486"/>
      <c r="C12486"/>
      <c r="D12486"/>
      <c r="E12486"/>
      <c r="F12486"/>
      <c r="G12486" s="20"/>
      <c r="H12486"/>
      <c r="I12486"/>
    </row>
    <row r="12487" spans="2:9" ht="15" x14ac:dyDescent="0.25">
      <c r="B12487"/>
      <c r="C12487"/>
      <c r="D12487"/>
      <c r="E12487"/>
      <c r="F12487"/>
      <c r="G12487" s="20"/>
      <c r="H12487"/>
      <c r="I12487"/>
    </row>
    <row r="12488" spans="2:9" ht="15" x14ac:dyDescent="0.25">
      <c r="B12488"/>
      <c r="C12488"/>
      <c r="D12488"/>
      <c r="E12488"/>
      <c r="F12488"/>
      <c r="G12488" s="20"/>
      <c r="H12488"/>
      <c r="I12488"/>
    </row>
    <row r="12489" spans="2:9" ht="15" x14ac:dyDescent="0.25">
      <c r="B12489"/>
      <c r="C12489"/>
      <c r="D12489"/>
      <c r="E12489"/>
      <c r="F12489"/>
      <c r="G12489" s="20"/>
      <c r="H12489"/>
      <c r="I12489"/>
    </row>
    <row r="12490" spans="2:9" ht="15" x14ac:dyDescent="0.25">
      <c r="B12490"/>
      <c r="C12490"/>
      <c r="D12490"/>
      <c r="E12490"/>
      <c r="F12490"/>
      <c r="G12490" s="20"/>
      <c r="H12490"/>
      <c r="I12490"/>
    </row>
    <row r="12491" spans="2:9" ht="15" x14ac:dyDescent="0.25">
      <c r="B12491"/>
      <c r="C12491"/>
      <c r="D12491"/>
      <c r="E12491"/>
      <c r="F12491"/>
      <c r="G12491" s="20"/>
      <c r="H12491"/>
      <c r="I12491"/>
    </row>
    <row r="12492" spans="2:9" ht="15" x14ac:dyDescent="0.25">
      <c r="B12492"/>
      <c r="C12492"/>
      <c r="D12492"/>
      <c r="E12492"/>
      <c r="F12492"/>
      <c r="G12492" s="20"/>
      <c r="H12492"/>
      <c r="I12492"/>
    </row>
    <row r="12493" spans="2:9" ht="15" x14ac:dyDescent="0.25">
      <c r="B12493"/>
      <c r="C12493"/>
      <c r="D12493"/>
      <c r="E12493"/>
      <c r="F12493"/>
      <c r="G12493" s="20"/>
      <c r="H12493"/>
      <c r="I12493"/>
    </row>
    <row r="12494" spans="2:9" ht="15" x14ac:dyDescent="0.25">
      <c r="B12494"/>
      <c r="C12494"/>
      <c r="D12494"/>
      <c r="E12494"/>
      <c r="F12494"/>
      <c r="G12494" s="20"/>
      <c r="H12494"/>
      <c r="I12494"/>
    </row>
    <row r="12495" spans="2:9" ht="15" x14ac:dyDescent="0.25">
      <c r="B12495"/>
      <c r="C12495"/>
      <c r="D12495"/>
      <c r="E12495"/>
      <c r="F12495"/>
      <c r="G12495" s="20"/>
      <c r="H12495"/>
      <c r="I12495"/>
    </row>
    <row r="12496" spans="2:9" ht="15" x14ac:dyDescent="0.25">
      <c r="B12496"/>
      <c r="C12496"/>
      <c r="D12496"/>
      <c r="E12496"/>
      <c r="F12496"/>
      <c r="G12496" s="20"/>
      <c r="H12496"/>
      <c r="I12496"/>
    </row>
    <row r="12497" spans="2:9" ht="15" x14ac:dyDescent="0.25">
      <c r="B12497"/>
      <c r="C12497"/>
      <c r="D12497"/>
      <c r="E12497"/>
      <c r="F12497"/>
      <c r="G12497" s="20"/>
      <c r="H12497"/>
      <c r="I12497"/>
    </row>
    <row r="12498" spans="2:9" ht="15" x14ac:dyDescent="0.25">
      <c r="B12498"/>
      <c r="C12498"/>
      <c r="D12498"/>
      <c r="E12498"/>
      <c r="F12498"/>
      <c r="G12498" s="20"/>
      <c r="H12498"/>
      <c r="I12498"/>
    </row>
    <row r="12499" spans="2:9" ht="15" x14ac:dyDescent="0.25">
      <c r="B12499"/>
      <c r="C12499"/>
      <c r="D12499"/>
      <c r="E12499"/>
      <c r="F12499"/>
      <c r="G12499" s="20"/>
      <c r="H12499"/>
      <c r="I12499"/>
    </row>
    <row r="12500" spans="2:9" ht="15" x14ac:dyDescent="0.25">
      <c r="B12500"/>
      <c r="C12500"/>
      <c r="D12500"/>
      <c r="E12500"/>
      <c r="F12500"/>
      <c r="G12500" s="20"/>
      <c r="H12500"/>
      <c r="I12500"/>
    </row>
    <row r="12501" spans="2:9" ht="15" x14ac:dyDescent="0.25">
      <c r="B12501"/>
      <c r="C12501"/>
      <c r="D12501"/>
      <c r="E12501"/>
      <c r="F12501"/>
      <c r="G12501" s="20"/>
      <c r="H12501"/>
      <c r="I12501"/>
    </row>
    <row r="12502" spans="2:9" ht="15" x14ac:dyDescent="0.25">
      <c r="B12502"/>
      <c r="C12502"/>
      <c r="D12502"/>
      <c r="E12502"/>
      <c r="F12502"/>
      <c r="G12502" s="20"/>
      <c r="H12502"/>
      <c r="I12502"/>
    </row>
    <row r="12503" spans="2:9" ht="15" x14ac:dyDescent="0.25">
      <c r="B12503"/>
      <c r="C12503"/>
      <c r="D12503"/>
      <c r="E12503"/>
      <c r="F12503"/>
      <c r="G12503" s="20"/>
      <c r="H12503"/>
      <c r="I12503"/>
    </row>
    <row r="12504" spans="2:9" ht="15" x14ac:dyDescent="0.25">
      <c r="B12504"/>
      <c r="C12504"/>
      <c r="D12504"/>
      <c r="E12504"/>
      <c r="F12504"/>
      <c r="G12504" s="20"/>
      <c r="H12504"/>
      <c r="I12504"/>
    </row>
    <row r="12505" spans="2:9" ht="15" x14ac:dyDescent="0.25">
      <c r="B12505"/>
      <c r="C12505"/>
      <c r="D12505"/>
      <c r="E12505"/>
      <c r="F12505"/>
      <c r="G12505" s="20"/>
      <c r="H12505"/>
      <c r="I12505"/>
    </row>
    <row r="12506" spans="2:9" ht="15" x14ac:dyDescent="0.25">
      <c r="B12506"/>
      <c r="C12506"/>
      <c r="D12506"/>
      <c r="E12506"/>
      <c r="F12506"/>
      <c r="G12506" s="20"/>
      <c r="H12506"/>
      <c r="I12506"/>
    </row>
    <row r="12507" spans="2:9" ht="15" x14ac:dyDescent="0.25">
      <c r="B12507"/>
      <c r="C12507"/>
      <c r="D12507"/>
      <c r="E12507"/>
      <c r="F12507"/>
      <c r="G12507" s="20"/>
      <c r="H12507"/>
      <c r="I12507"/>
    </row>
    <row r="12508" spans="2:9" ht="15" x14ac:dyDescent="0.25">
      <c r="B12508"/>
      <c r="C12508"/>
      <c r="D12508"/>
      <c r="E12508"/>
      <c r="F12508"/>
      <c r="G12508" s="20"/>
      <c r="H12508"/>
      <c r="I12508"/>
    </row>
    <row r="12509" spans="2:9" ht="15" x14ac:dyDescent="0.25">
      <c r="B12509"/>
      <c r="C12509"/>
      <c r="D12509"/>
      <c r="E12509"/>
      <c r="F12509"/>
      <c r="G12509" s="20"/>
      <c r="H12509"/>
      <c r="I12509"/>
    </row>
    <row r="12510" spans="2:9" ht="15" x14ac:dyDescent="0.25">
      <c r="B12510"/>
      <c r="C12510"/>
      <c r="D12510"/>
      <c r="E12510"/>
      <c r="F12510"/>
      <c r="G12510" s="20"/>
      <c r="H12510"/>
      <c r="I12510"/>
    </row>
    <row r="12511" spans="2:9" ht="15" x14ac:dyDescent="0.25">
      <c r="B12511"/>
      <c r="C12511"/>
      <c r="D12511"/>
      <c r="E12511"/>
      <c r="F12511"/>
      <c r="G12511" s="20"/>
      <c r="H12511"/>
      <c r="I12511"/>
    </row>
    <row r="12512" spans="2:9" ht="15" x14ac:dyDescent="0.25">
      <c r="B12512"/>
      <c r="C12512"/>
      <c r="D12512"/>
      <c r="E12512"/>
      <c r="F12512"/>
      <c r="G12512" s="20"/>
      <c r="H12512"/>
      <c r="I12512"/>
    </row>
    <row r="12513" spans="2:9" ht="15" x14ac:dyDescent="0.25">
      <c r="B12513"/>
      <c r="C12513"/>
      <c r="D12513"/>
      <c r="E12513"/>
      <c r="F12513"/>
      <c r="G12513" s="20"/>
      <c r="H12513"/>
      <c r="I12513"/>
    </row>
    <row r="12514" spans="2:9" ht="15" x14ac:dyDescent="0.25">
      <c r="B12514"/>
      <c r="C12514"/>
      <c r="D12514"/>
      <c r="E12514"/>
      <c r="F12514"/>
      <c r="G12514" s="20"/>
      <c r="H12514"/>
      <c r="I12514"/>
    </row>
    <row r="12515" spans="2:9" ht="15" x14ac:dyDescent="0.25">
      <c r="B12515"/>
      <c r="C12515"/>
      <c r="D12515"/>
      <c r="E12515"/>
      <c r="F12515"/>
      <c r="G12515" s="20"/>
      <c r="H12515"/>
      <c r="I12515"/>
    </row>
    <row r="12516" spans="2:9" ht="15" x14ac:dyDescent="0.25">
      <c r="B12516"/>
      <c r="C12516"/>
      <c r="D12516"/>
      <c r="E12516"/>
      <c r="F12516"/>
      <c r="G12516" s="20"/>
      <c r="H12516"/>
      <c r="I12516"/>
    </row>
    <row r="12517" spans="2:9" ht="15" x14ac:dyDescent="0.25">
      <c r="B12517"/>
      <c r="C12517"/>
      <c r="D12517"/>
      <c r="E12517"/>
      <c r="F12517"/>
      <c r="G12517" s="20"/>
      <c r="H12517"/>
      <c r="I12517"/>
    </row>
    <row r="12518" spans="2:9" ht="15" x14ac:dyDescent="0.25">
      <c r="B12518"/>
      <c r="C12518"/>
      <c r="D12518"/>
      <c r="E12518"/>
      <c r="F12518"/>
      <c r="G12518" s="20"/>
      <c r="H12518"/>
      <c r="I12518"/>
    </row>
    <row r="12519" spans="2:9" ht="15" x14ac:dyDescent="0.25">
      <c r="B12519"/>
      <c r="C12519"/>
      <c r="D12519"/>
      <c r="E12519"/>
      <c r="F12519"/>
      <c r="G12519" s="20"/>
      <c r="H12519"/>
      <c r="I12519"/>
    </row>
    <row r="12520" spans="2:9" ht="15" x14ac:dyDescent="0.25">
      <c r="B12520"/>
      <c r="C12520"/>
      <c r="D12520"/>
      <c r="E12520"/>
      <c r="F12520"/>
      <c r="G12520" s="20"/>
      <c r="H12520"/>
      <c r="I12520"/>
    </row>
    <row r="12521" spans="2:9" ht="15" x14ac:dyDescent="0.25">
      <c r="B12521"/>
      <c r="C12521"/>
      <c r="D12521"/>
      <c r="E12521"/>
      <c r="F12521"/>
      <c r="G12521" s="20"/>
      <c r="H12521"/>
      <c r="I12521"/>
    </row>
    <row r="12522" spans="2:9" ht="15" x14ac:dyDescent="0.25">
      <c r="B12522"/>
      <c r="C12522"/>
      <c r="D12522"/>
      <c r="E12522"/>
      <c r="F12522"/>
      <c r="G12522" s="20"/>
      <c r="H12522"/>
      <c r="I12522"/>
    </row>
    <row r="12523" spans="2:9" ht="15" x14ac:dyDescent="0.25">
      <c r="B12523"/>
      <c r="C12523"/>
      <c r="D12523"/>
      <c r="E12523"/>
      <c r="F12523"/>
      <c r="G12523" s="20"/>
      <c r="H12523"/>
      <c r="I12523"/>
    </row>
    <row r="12524" spans="2:9" ht="15" x14ac:dyDescent="0.25">
      <c r="B12524"/>
      <c r="C12524"/>
      <c r="D12524"/>
      <c r="E12524"/>
      <c r="F12524"/>
      <c r="G12524" s="20"/>
      <c r="H12524"/>
      <c r="I12524"/>
    </row>
    <row r="12525" spans="2:9" ht="15" x14ac:dyDescent="0.25">
      <c r="B12525"/>
      <c r="C12525"/>
      <c r="D12525"/>
      <c r="E12525"/>
      <c r="F12525"/>
      <c r="G12525" s="20"/>
      <c r="H12525"/>
      <c r="I12525"/>
    </row>
    <row r="12526" spans="2:9" ht="15" x14ac:dyDescent="0.25">
      <c r="B12526"/>
      <c r="C12526"/>
      <c r="D12526"/>
      <c r="E12526"/>
      <c r="F12526"/>
      <c r="G12526" s="20"/>
      <c r="H12526"/>
      <c r="I12526"/>
    </row>
    <row r="12527" spans="2:9" ht="15" x14ac:dyDescent="0.25">
      <c r="B12527"/>
      <c r="C12527"/>
      <c r="D12527"/>
      <c r="E12527"/>
      <c r="F12527"/>
      <c r="G12527" s="20"/>
      <c r="H12527"/>
      <c r="I12527"/>
    </row>
    <row r="12528" spans="2:9" ht="15" x14ac:dyDescent="0.25">
      <c r="B12528"/>
      <c r="C12528"/>
      <c r="D12528"/>
      <c r="E12528"/>
      <c r="F12528"/>
      <c r="G12528" s="20"/>
      <c r="H12528"/>
      <c r="I12528"/>
    </row>
    <row r="12529" spans="2:9" ht="15" x14ac:dyDescent="0.25">
      <c r="B12529"/>
      <c r="C12529"/>
      <c r="D12529"/>
      <c r="E12529"/>
      <c r="F12529"/>
      <c r="G12529" s="20"/>
      <c r="H12529"/>
      <c r="I12529"/>
    </row>
    <row r="12530" spans="2:9" ht="15" x14ac:dyDescent="0.25">
      <c r="B12530"/>
      <c r="C12530"/>
      <c r="D12530"/>
      <c r="E12530"/>
      <c r="F12530"/>
      <c r="G12530" s="20"/>
      <c r="H12530"/>
      <c r="I12530"/>
    </row>
    <row r="12531" spans="2:9" ht="15" x14ac:dyDescent="0.25">
      <c r="B12531"/>
      <c r="C12531"/>
      <c r="D12531"/>
      <c r="E12531"/>
      <c r="F12531"/>
      <c r="G12531" s="20"/>
      <c r="H12531"/>
      <c r="I12531"/>
    </row>
    <row r="12532" spans="2:9" ht="15" x14ac:dyDescent="0.25">
      <c r="B12532"/>
      <c r="C12532"/>
      <c r="D12532"/>
      <c r="E12532"/>
      <c r="F12532"/>
      <c r="G12532" s="20"/>
      <c r="H12532"/>
      <c r="I12532"/>
    </row>
    <row r="12533" spans="2:9" ht="15" x14ac:dyDescent="0.25">
      <c r="B12533"/>
      <c r="C12533"/>
      <c r="D12533"/>
      <c r="E12533"/>
      <c r="F12533"/>
      <c r="G12533" s="20"/>
      <c r="H12533"/>
      <c r="I12533"/>
    </row>
    <row r="12534" spans="2:9" ht="15" x14ac:dyDescent="0.25">
      <c r="B12534"/>
      <c r="C12534"/>
      <c r="D12534"/>
      <c r="E12534"/>
      <c r="F12534"/>
      <c r="G12534" s="20"/>
      <c r="H12534"/>
      <c r="I12534"/>
    </row>
    <row r="12535" spans="2:9" ht="15" x14ac:dyDescent="0.25">
      <c r="B12535"/>
      <c r="C12535"/>
      <c r="D12535"/>
      <c r="E12535"/>
      <c r="F12535"/>
      <c r="G12535" s="20"/>
      <c r="H12535"/>
      <c r="I12535"/>
    </row>
    <row r="12536" spans="2:9" ht="15" x14ac:dyDescent="0.25">
      <c r="B12536"/>
      <c r="C12536"/>
      <c r="D12536"/>
      <c r="E12536"/>
      <c r="F12536"/>
      <c r="G12536" s="20"/>
      <c r="H12536"/>
      <c r="I12536"/>
    </row>
    <row r="12537" spans="2:9" ht="15" x14ac:dyDescent="0.25">
      <c r="B12537"/>
      <c r="C12537"/>
      <c r="D12537"/>
      <c r="E12537"/>
      <c r="F12537"/>
      <c r="G12537" s="20"/>
      <c r="H12537"/>
      <c r="I12537"/>
    </row>
    <row r="12538" spans="2:9" ht="15" x14ac:dyDescent="0.25">
      <c r="B12538"/>
      <c r="C12538"/>
      <c r="D12538"/>
      <c r="E12538"/>
      <c r="F12538"/>
      <c r="G12538" s="20"/>
      <c r="H12538"/>
      <c r="I12538"/>
    </row>
    <row r="12539" spans="2:9" ht="15" x14ac:dyDescent="0.25">
      <c r="B12539"/>
      <c r="C12539"/>
      <c r="D12539"/>
      <c r="E12539"/>
      <c r="F12539"/>
      <c r="G12539" s="20"/>
      <c r="H12539"/>
      <c r="I12539"/>
    </row>
    <row r="12540" spans="2:9" ht="15" x14ac:dyDescent="0.25">
      <c r="B12540"/>
      <c r="C12540"/>
      <c r="D12540"/>
      <c r="E12540"/>
      <c r="F12540"/>
      <c r="G12540" s="20"/>
      <c r="H12540"/>
      <c r="I12540"/>
    </row>
    <row r="12541" spans="2:9" ht="15" x14ac:dyDescent="0.25">
      <c r="B12541"/>
      <c r="C12541"/>
      <c r="D12541"/>
      <c r="E12541"/>
      <c r="F12541"/>
      <c r="G12541" s="20"/>
      <c r="H12541"/>
      <c r="I12541"/>
    </row>
    <row r="12542" spans="2:9" ht="15" x14ac:dyDescent="0.25">
      <c r="B12542"/>
      <c r="C12542"/>
      <c r="D12542"/>
      <c r="E12542"/>
      <c r="F12542"/>
      <c r="G12542" s="20"/>
      <c r="H12542"/>
      <c r="I12542"/>
    </row>
    <row r="12543" spans="2:9" ht="15" x14ac:dyDescent="0.25">
      <c r="B12543"/>
      <c r="C12543"/>
      <c r="D12543"/>
      <c r="E12543"/>
      <c r="F12543"/>
      <c r="G12543" s="20"/>
      <c r="H12543"/>
      <c r="I12543"/>
    </row>
    <row r="12544" spans="2:9" ht="15" x14ac:dyDescent="0.25">
      <c r="B12544"/>
      <c r="C12544"/>
      <c r="D12544"/>
      <c r="E12544"/>
      <c r="F12544"/>
      <c r="G12544" s="20"/>
      <c r="H12544"/>
      <c r="I12544"/>
    </row>
    <row r="12545" spans="2:9" ht="15" x14ac:dyDescent="0.25">
      <c r="B12545"/>
      <c r="C12545"/>
      <c r="D12545"/>
      <c r="E12545"/>
      <c r="F12545"/>
      <c r="G12545" s="20"/>
      <c r="H12545"/>
      <c r="I12545"/>
    </row>
    <row r="12546" spans="2:9" ht="15" x14ac:dyDescent="0.25">
      <c r="B12546"/>
      <c r="C12546"/>
      <c r="D12546"/>
      <c r="E12546"/>
      <c r="F12546"/>
      <c r="G12546" s="20"/>
      <c r="H12546"/>
      <c r="I12546"/>
    </row>
    <row r="12547" spans="2:9" ht="15" x14ac:dyDescent="0.25">
      <c r="B12547"/>
      <c r="C12547"/>
      <c r="D12547"/>
      <c r="E12547"/>
      <c r="F12547"/>
      <c r="G12547" s="20"/>
      <c r="H12547"/>
      <c r="I12547"/>
    </row>
    <row r="12548" spans="2:9" ht="15" x14ac:dyDescent="0.25">
      <c r="B12548"/>
      <c r="C12548"/>
      <c r="D12548"/>
      <c r="E12548"/>
      <c r="F12548"/>
      <c r="G12548" s="20"/>
      <c r="H12548"/>
      <c r="I12548"/>
    </row>
    <row r="12549" spans="2:9" ht="15" x14ac:dyDescent="0.25">
      <c r="B12549"/>
      <c r="C12549"/>
      <c r="D12549"/>
      <c r="E12549"/>
      <c r="F12549"/>
      <c r="G12549" s="20"/>
      <c r="H12549"/>
      <c r="I12549"/>
    </row>
    <row r="12550" spans="2:9" ht="15" x14ac:dyDescent="0.25">
      <c r="B12550"/>
      <c r="C12550"/>
      <c r="D12550"/>
      <c r="E12550"/>
      <c r="F12550"/>
      <c r="G12550" s="20"/>
      <c r="H12550"/>
      <c r="I12550"/>
    </row>
    <row r="12551" spans="2:9" ht="15" x14ac:dyDescent="0.25">
      <c r="B12551"/>
      <c r="C12551"/>
      <c r="D12551"/>
      <c r="E12551"/>
      <c r="F12551"/>
      <c r="G12551" s="20"/>
      <c r="H12551"/>
      <c r="I12551"/>
    </row>
    <row r="12552" spans="2:9" ht="15" x14ac:dyDescent="0.25">
      <c r="B12552"/>
      <c r="C12552"/>
      <c r="D12552"/>
      <c r="E12552"/>
      <c r="F12552"/>
      <c r="G12552" s="20"/>
      <c r="H12552"/>
      <c r="I12552"/>
    </row>
    <row r="12553" spans="2:9" ht="15" x14ac:dyDescent="0.25">
      <c r="B12553"/>
      <c r="C12553"/>
      <c r="D12553"/>
      <c r="E12553"/>
      <c r="F12553"/>
      <c r="G12553" s="20"/>
      <c r="H12553"/>
      <c r="I12553"/>
    </row>
    <row r="12554" spans="2:9" ht="15" x14ac:dyDescent="0.25">
      <c r="B12554"/>
      <c r="C12554"/>
      <c r="D12554"/>
      <c r="E12554"/>
      <c r="F12554"/>
      <c r="G12554" s="20"/>
      <c r="H12554"/>
      <c r="I12554"/>
    </row>
    <row r="12555" spans="2:9" ht="15" x14ac:dyDescent="0.25">
      <c r="B12555"/>
      <c r="C12555"/>
      <c r="D12555"/>
      <c r="E12555"/>
      <c r="F12555"/>
      <c r="G12555" s="20"/>
      <c r="H12555"/>
      <c r="I12555"/>
    </row>
    <row r="12556" spans="2:9" ht="15" x14ac:dyDescent="0.25">
      <c r="B12556"/>
      <c r="C12556"/>
      <c r="D12556"/>
      <c r="E12556"/>
      <c r="F12556"/>
      <c r="G12556" s="20"/>
      <c r="H12556"/>
      <c r="I12556"/>
    </row>
    <row r="12557" spans="2:9" ht="15" x14ac:dyDescent="0.25">
      <c r="B12557"/>
      <c r="C12557"/>
      <c r="D12557"/>
      <c r="E12557"/>
      <c r="F12557"/>
      <c r="G12557" s="20"/>
      <c r="H12557"/>
      <c r="I12557"/>
    </row>
    <row r="12558" spans="2:9" ht="15" x14ac:dyDescent="0.25">
      <c r="B12558"/>
      <c r="C12558"/>
      <c r="D12558"/>
      <c r="E12558"/>
      <c r="F12558"/>
      <c r="G12558" s="20"/>
      <c r="H12558"/>
      <c r="I12558"/>
    </row>
    <row r="12559" spans="2:9" ht="15" x14ac:dyDescent="0.25">
      <c r="B12559"/>
      <c r="C12559"/>
      <c r="D12559"/>
      <c r="E12559"/>
      <c r="F12559"/>
      <c r="G12559" s="20"/>
      <c r="H12559"/>
      <c r="I12559"/>
    </row>
    <row r="12560" spans="2:9" ht="15" x14ac:dyDescent="0.25">
      <c r="B12560"/>
      <c r="C12560"/>
      <c r="D12560"/>
      <c r="E12560"/>
      <c r="F12560"/>
      <c r="G12560" s="20"/>
      <c r="H12560"/>
      <c r="I12560"/>
    </row>
    <row r="12561" spans="2:9" ht="15" x14ac:dyDescent="0.25">
      <c r="B12561"/>
      <c r="C12561"/>
      <c r="D12561"/>
      <c r="E12561"/>
      <c r="F12561"/>
      <c r="G12561" s="20"/>
      <c r="H12561"/>
      <c r="I12561"/>
    </row>
    <row r="12562" spans="2:9" ht="15" x14ac:dyDescent="0.25">
      <c r="B12562"/>
      <c r="C12562"/>
      <c r="D12562"/>
      <c r="E12562"/>
      <c r="F12562"/>
      <c r="G12562" s="20"/>
      <c r="H12562"/>
      <c r="I12562"/>
    </row>
    <row r="12563" spans="2:9" ht="15" x14ac:dyDescent="0.25">
      <c r="B12563"/>
      <c r="C12563"/>
      <c r="D12563"/>
      <c r="E12563"/>
      <c r="F12563"/>
      <c r="G12563" s="20"/>
      <c r="H12563"/>
      <c r="I12563"/>
    </row>
    <row r="12564" spans="2:9" ht="15" x14ac:dyDescent="0.25">
      <c r="B12564"/>
      <c r="C12564"/>
      <c r="D12564"/>
      <c r="E12564"/>
      <c r="F12564"/>
      <c r="G12564" s="20"/>
      <c r="H12564"/>
      <c r="I12564"/>
    </row>
    <row r="12565" spans="2:9" ht="15" x14ac:dyDescent="0.25">
      <c r="B12565"/>
      <c r="C12565"/>
      <c r="D12565"/>
      <c r="E12565"/>
      <c r="F12565"/>
      <c r="G12565" s="20"/>
      <c r="H12565"/>
      <c r="I12565"/>
    </row>
    <row r="12566" spans="2:9" ht="15" x14ac:dyDescent="0.25">
      <c r="B12566"/>
      <c r="C12566"/>
      <c r="D12566"/>
      <c r="E12566"/>
      <c r="F12566"/>
      <c r="G12566" s="20"/>
      <c r="H12566"/>
      <c r="I12566"/>
    </row>
    <row r="12567" spans="2:9" ht="15" x14ac:dyDescent="0.25">
      <c r="B12567"/>
      <c r="C12567"/>
      <c r="D12567"/>
      <c r="E12567"/>
      <c r="F12567"/>
      <c r="G12567" s="20"/>
      <c r="H12567"/>
      <c r="I12567"/>
    </row>
    <row r="12568" spans="2:9" ht="15" x14ac:dyDescent="0.25">
      <c r="B12568"/>
      <c r="C12568"/>
      <c r="D12568"/>
      <c r="E12568"/>
      <c r="F12568"/>
      <c r="G12568" s="20"/>
      <c r="H12568"/>
      <c r="I12568"/>
    </row>
    <row r="12569" spans="2:9" ht="15" x14ac:dyDescent="0.25">
      <c r="B12569"/>
      <c r="C12569"/>
      <c r="D12569"/>
      <c r="E12569"/>
      <c r="F12569"/>
      <c r="G12569" s="20"/>
      <c r="H12569"/>
      <c r="I12569"/>
    </row>
    <row r="12570" spans="2:9" ht="15" x14ac:dyDescent="0.25">
      <c r="B12570"/>
      <c r="C12570"/>
      <c r="D12570"/>
      <c r="E12570"/>
      <c r="F12570"/>
      <c r="G12570" s="20"/>
      <c r="H12570"/>
      <c r="I12570"/>
    </row>
    <row r="12571" spans="2:9" ht="15" x14ac:dyDescent="0.25">
      <c r="B12571"/>
      <c r="C12571"/>
      <c r="D12571"/>
      <c r="E12571"/>
      <c r="F12571"/>
      <c r="G12571" s="20"/>
      <c r="H12571"/>
      <c r="I12571"/>
    </row>
    <row r="12572" spans="2:9" ht="15" x14ac:dyDescent="0.25">
      <c r="B12572"/>
      <c r="C12572"/>
      <c r="D12572"/>
      <c r="E12572"/>
      <c r="F12572"/>
      <c r="G12572" s="20"/>
      <c r="H12572"/>
      <c r="I12572"/>
    </row>
    <row r="12573" spans="2:9" ht="15" x14ac:dyDescent="0.25">
      <c r="B12573"/>
      <c r="C12573"/>
      <c r="D12573"/>
      <c r="E12573"/>
      <c r="F12573"/>
      <c r="G12573" s="20"/>
      <c r="H12573"/>
      <c r="I12573"/>
    </row>
    <row r="12574" spans="2:9" ht="15" x14ac:dyDescent="0.25">
      <c r="B12574"/>
      <c r="C12574"/>
      <c r="D12574"/>
      <c r="E12574"/>
      <c r="F12574"/>
      <c r="G12574" s="20"/>
      <c r="H12574"/>
      <c r="I12574"/>
    </row>
    <row r="12575" spans="2:9" ht="15" x14ac:dyDescent="0.25">
      <c r="B12575"/>
      <c r="C12575"/>
      <c r="D12575"/>
      <c r="E12575"/>
      <c r="F12575"/>
      <c r="G12575" s="20"/>
      <c r="H12575"/>
      <c r="I12575"/>
    </row>
    <row r="12576" spans="2:9" ht="15" x14ac:dyDescent="0.25">
      <c r="B12576"/>
      <c r="C12576"/>
      <c r="D12576"/>
      <c r="E12576"/>
      <c r="F12576"/>
      <c r="G12576" s="20"/>
      <c r="H12576"/>
      <c r="I12576"/>
    </row>
    <row r="12577" spans="2:9" ht="15" x14ac:dyDescent="0.25">
      <c r="B12577"/>
      <c r="C12577"/>
      <c r="D12577"/>
      <c r="E12577"/>
      <c r="F12577"/>
      <c r="G12577" s="20"/>
      <c r="H12577"/>
      <c r="I12577"/>
    </row>
    <row r="12578" spans="2:9" ht="15" x14ac:dyDescent="0.25">
      <c r="B12578"/>
      <c r="C12578"/>
      <c r="D12578"/>
      <c r="E12578"/>
      <c r="F12578"/>
      <c r="G12578" s="20"/>
      <c r="H12578"/>
      <c r="I12578"/>
    </row>
    <row r="12579" spans="2:9" ht="15" x14ac:dyDescent="0.25">
      <c r="B12579"/>
      <c r="C12579"/>
      <c r="D12579"/>
      <c r="E12579"/>
      <c r="F12579"/>
      <c r="G12579" s="20"/>
      <c r="H12579"/>
      <c r="I12579"/>
    </row>
    <row r="12580" spans="2:9" ht="15" x14ac:dyDescent="0.25">
      <c r="B12580"/>
      <c r="C12580"/>
      <c r="D12580"/>
      <c r="E12580"/>
      <c r="F12580"/>
      <c r="G12580" s="20"/>
      <c r="H12580"/>
      <c r="I12580"/>
    </row>
    <row r="12581" spans="2:9" ht="15" x14ac:dyDescent="0.25">
      <c r="B12581"/>
      <c r="C12581"/>
      <c r="D12581"/>
      <c r="E12581"/>
      <c r="F12581"/>
      <c r="G12581" s="20"/>
      <c r="H12581"/>
      <c r="I12581"/>
    </row>
    <row r="12582" spans="2:9" ht="15" x14ac:dyDescent="0.25">
      <c r="B12582"/>
      <c r="C12582"/>
      <c r="D12582"/>
      <c r="E12582"/>
      <c r="F12582"/>
      <c r="G12582" s="20"/>
      <c r="H12582"/>
      <c r="I12582"/>
    </row>
    <row r="12583" spans="2:9" ht="15" x14ac:dyDescent="0.25">
      <c r="B12583"/>
      <c r="C12583"/>
      <c r="D12583"/>
      <c r="E12583"/>
      <c r="F12583"/>
      <c r="G12583" s="20"/>
      <c r="H12583"/>
      <c r="I12583"/>
    </row>
    <row r="12584" spans="2:9" ht="15" x14ac:dyDescent="0.25">
      <c r="B12584"/>
      <c r="C12584"/>
      <c r="D12584"/>
      <c r="E12584"/>
      <c r="F12584"/>
      <c r="G12584" s="20"/>
      <c r="H12584"/>
      <c r="I12584"/>
    </row>
    <row r="12585" spans="2:9" ht="15" x14ac:dyDescent="0.25">
      <c r="B12585"/>
      <c r="C12585"/>
      <c r="D12585"/>
      <c r="E12585"/>
      <c r="F12585"/>
      <c r="G12585" s="20"/>
      <c r="H12585"/>
      <c r="I12585"/>
    </row>
    <row r="12586" spans="2:9" ht="15" x14ac:dyDescent="0.25">
      <c r="B12586"/>
      <c r="C12586"/>
      <c r="D12586"/>
      <c r="E12586"/>
      <c r="F12586"/>
      <c r="G12586" s="20"/>
      <c r="H12586"/>
      <c r="I12586"/>
    </row>
    <row r="12587" spans="2:9" ht="15" x14ac:dyDescent="0.25">
      <c r="B12587"/>
      <c r="C12587"/>
      <c r="D12587"/>
      <c r="E12587"/>
      <c r="F12587"/>
      <c r="G12587" s="20"/>
      <c r="H12587"/>
      <c r="I12587"/>
    </row>
    <row r="12588" spans="2:9" ht="15" x14ac:dyDescent="0.25">
      <c r="B12588"/>
      <c r="C12588"/>
      <c r="D12588"/>
      <c r="E12588"/>
      <c r="F12588"/>
      <c r="G12588" s="20"/>
      <c r="H12588"/>
      <c r="I12588"/>
    </row>
    <row r="12589" spans="2:9" ht="15" x14ac:dyDescent="0.25">
      <c r="B12589"/>
      <c r="C12589"/>
      <c r="D12589"/>
      <c r="E12589"/>
      <c r="F12589"/>
      <c r="G12589" s="20"/>
      <c r="H12589"/>
      <c r="I12589"/>
    </row>
    <row r="12590" spans="2:9" ht="15" x14ac:dyDescent="0.25">
      <c r="B12590"/>
      <c r="C12590"/>
      <c r="D12590"/>
      <c r="E12590"/>
      <c r="F12590"/>
      <c r="G12590" s="20"/>
      <c r="H12590"/>
      <c r="I12590"/>
    </row>
    <row r="12591" spans="2:9" ht="15" x14ac:dyDescent="0.25">
      <c r="B12591"/>
      <c r="C12591"/>
      <c r="D12591"/>
      <c r="E12591"/>
      <c r="F12591"/>
      <c r="G12591" s="20"/>
      <c r="H12591"/>
      <c r="I12591"/>
    </row>
    <row r="12592" spans="2:9" ht="15" x14ac:dyDescent="0.25">
      <c r="B12592"/>
      <c r="C12592"/>
      <c r="D12592"/>
      <c r="E12592"/>
      <c r="F12592"/>
      <c r="G12592" s="20"/>
      <c r="H12592"/>
      <c r="I12592"/>
    </row>
    <row r="12593" spans="2:9" ht="15" x14ac:dyDescent="0.25">
      <c r="B12593"/>
      <c r="C12593"/>
      <c r="D12593"/>
      <c r="E12593"/>
      <c r="F12593"/>
      <c r="G12593" s="20"/>
      <c r="H12593"/>
      <c r="I12593"/>
    </row>
    <row r="12594" spans="2:9" ht="15" x14ac:dyDescent="0.25">
      <c r="B12594"/>
      <c r="C12594"/>
      <c r="D12594"/>
      <c r="E12594"/>
      <c r="F12594"/>
      <c r="G12594" s="20"/>
      <c r="H12594"/>
      <c r="I12594"/>
    </row>
    <row r="12595" spans="2:9" ht="15" x14ac:dyDescent="0.25">
      <c r="B12595"/>
      <c r="C12595"/>
      <c r="D12595"/>
      <c r="E12595"/>
      <c r="F12595"/>
      <c r="G12595" s="20"/>
      <c r="H12595"/>
      <c r="I12595"/>
    </row>
    <row r="12596" spans="2:9" ht="15" x14ac:dyDescent="0.25">
      <c r="B12596"/>
      <c r="C12596"/>
      <c r="D12596"/>
      <c r="E12596"/>
      <c r="F12596"/>
      <c r="G12596" s="20"/>
      <c r="H12596"/>
      <c r="I12596"/>
    </row>
    <row r="12597" spans="2:9" ht="15" x14ac:dyDescent="0.25">
      <c r="B12597"/>
      <c r="C12597"/>
      <c r="D12597"/>
      <c r="E12597"/>
      <c r="F12597"/>
      <c r="G12597" s="20"/>
      <c r="H12597"/>
      <c r="I12597"/>
    </row>
    <row r="12598" spans="2:9" ht="15" x14ac:dyDescent="0.25">
      <c r="B12598"/>
      <c r="C12598"/>
      <c r="D12598"/>
      <c r="E12598"/>
      <c r="F12598"/>
      <c r="G12598" s="20"/>
      <c r="H12598"/>
      <c r="I12598"/>
    </row>
    <row r="12599" spans="2:9" ht="15" x14ac:dyDescent="0.25">
      <c r="B12599"/>
      <c r="C12599"/>
      <c r="D12599"/>
      <c r="E12599"/>
      <c r="F12599"/>
      <c r="G12599" s="20"/>
      <c r="H12599"/>
      <c r="I12599"/>
    </row>
    <row r="12600" spans="2:9" ht="15" x14ac:dyDescent="0.25">
      <c r="B12600"/>
      <c r="C12600"/>
      <c r="D12600"/>
      <c r="E12600"/>
      <c r="F12600"/>
      <c r="G12600" s="20"/>
      <c r="H12600"/>
      <c r="I12600"/>
    </row>
    <row r="12601" spans="2:9" ht="15" x14ac:dyDescent="0.25">
      <c r="B12601"/>
      <c r="C12601"/>
      <c r="D12601"/>
      <c r="E12601"/>
      <c r="F12601"/>
      <c r="G12601" s="20"/>
      <c r="H12601"/>
      <c r="I12601"/>
    </row>
    <row r="12602" spans="2:9" ht="15" x14ac:dyDescent="0.25">
      <c r="B12602"/>
      <c r="C12602"/>
      <c r="D12602"/>
      <c r="E12602"/>
      <c r="F12602"/>
      <c r="G12602" s="20"/>
      <c r="H12602"/>
      <c r="I12602"/>
    </row>
    <row r="12603" spans="2:9" ht="15" x14ac:dyDescent="0.25">
      <c r="B12603"/>
      <c r="C12603"/>
      <c r="D12603"/>
      <c r="E12603"/>
      <c r="F12603"/>
      <c r="G12603" s="20"/>
      <c r="H12603"/>
      <c r="I12603"/>
    </row>
    <row r="12604" spans="2:9" ht="15" x14ac:dyDescent="0.25">
      <c r="B12604"/>
      <c r="C12604"/>
      <c r="D12604"/>
      <c r="E12604"/>
      <c r="F12604"/>
      <c r="G12604" s="20"/>
      <c r="H12604"/>
      <c r="I12604"/>
    </row>
    <row r="12605" spans="2:9" ht="15" x14ac:dyDescent="0.25">
      <c r="B12605"/>
      <c r="C12605"/>
      <c r="D12605"/>
      <c r="E12605"/>
      <c r="F12605"/>
      <c r="G12605" s="20"/>
      <c r="H12605"/>
      <c r="I12605"/>
    </row>
    <row r="12606" spans="2:9" ht="15" x14ac:dyDescent="0.25">
      <c r="B12606"/>
      <c r="C12606"/>
      <c r="D12606"/>
      <c r="E12606"/>
      <c r="F12606"/>
      <c r="G12606" s="20"/>
      <c r="H12606"/>
      <c r="I12606"/>
    </row>
    <row r="12607" spans="2:9" ht="15" x14ac:dyDescent="0.25">
      <c r="B12607"/>
      <c r="C12607"/>
      <c r="D12607"/>
      <c r="E12607"/>
      <c r="F12607"/>
      <c r="G12607" s="20"/>
      <c r="H12607"/>
      <c r="I12607"/>
    </row>
    <row r="12608" spans="2:9" ht="15" x14ac:dyDescent="0.25">
      <c r="B12608"/>
      <c r="C12608"/>
      <c r="D12608"/>
      <c r="E12608"/>
      <c r="F12608"/>
      <c r="G12608" s="20"/>
      <c r="H12608"/>
      <c r="I12608"/>
    </row>
    <row r="12609" spans="2:9" ht="15" x14ac:dyDescent="0.25">
      <c r="B12609"/>
      <c r="C12609"/>
      <c r="D12609"/>
      <c r="E12609"/>
      <c r="F12609"/>
      <c r="G12609" s="20"/>
      <c r="H12609"/>
      <c r="I12609"/>
    </row>
    <row r="12610" spans="2:9" ht="15" x14ac:dyDescent="0.25">
      <c r="B12610"/>
      <c r="C12610"/>
      <c r="D12610"/>
      <c r="E12610"/>
      <c r="F12610"/>
      <c r="G12610" s="20"/>
      <c r="H12610"/>
      <c r="I12610"/>
    </row>
    <row r="12611" spans="2:9" ht="15" x14ac:dyDescent="0.25">
      <c r="B12611"/>
      <c r="C12611"/>
      <c r="D12611"/>
      <c r="E12611"/>
      <c r="F12611"/>
      <c r="G12611" s="20"/>
      <c r="H12611"/>
      <c r="I12611"/>
    </row>
    <row r="12612" spans="2:9" ht="15" x14ac:dyDescent="0.25">
      <c r="B12612"/>
      <c r="C12612"/>
      <c r="D12612"/>
      <c r="E12612"/>
      <c r="F12612"/>
      <c r="G12612" s="20"/>
      <c r="H12612"/>
      <c r="I12612"/>
    </row>
    <row r="12613" spans="2:9" ht="15" x14ac:dyDescent="0.25">
      <c r="B12613"/>
      <c r="C12613"/>
      <c r="D12613"/>
      <c r="E12613"/>
      <c r="F12613"/>
      <c r="G12613" s="20"/>
      <c r="H12613"/>
      <c r="I12613"/>
    </row>
    <row r="12614" spans="2:9" ht="15" x14ac:dyDescent="0.25">
      <c r="B12614"/>
      <c r="C12614"/>
      <c r="D12614"/>
      <c r="E12614"/>
      <c r="F12614"/>
      <c r="G12614" s="20"/>
      <c r="H12614"/>
      <c r="I12614"/>
    </row>
    <row r="12615" spans="2:9" ht="15" x14ac:dyDescent="0.25">
      <c r="B12615"/>
      <c r="C12615"/>
      <c r="D12615"/>
      <c r="E12615"/>
      <c r="F12615"/>
      <c r="G12615" s="20"/>
      <c r="H12615"/>
      <c r="I12615"/>
    </row>
    <row r="12616" spans="2:9" ht="15" x14ac:dyDescent="0.25">
      <c r="B12616"/>
      <c r="C12616"/>
      <c r="D12616"/>
      <c r="E12616"/>
      <c r="F12616"/>
      <c r="G12616" s="20"/>
      <c r="H12616"/>
      <c r="I12616"/>
    </row>
    <row r="12617" spans="2:9" ht="15" x14ac:dyDescent="0.25">
      <c r="B12617"/>
      <c r="C12617"/>
      <c r="D12617"/>
      <c r="E12617"/>
      <c r="F12617"/>
      <c r="G12617" s="20"/>
      <c r="H12617"/>
      <c r="I12617"/>
    </row>
    <row r="12618" spans="2:9" ht="15" x14ac:dyDescent="0.25">
      <c r="B12618"/>
      <c r="C12618"/>
      <c r="D12618"/>
      <c r="E12618"/>
      <c r="F12618"/>
      <c r="G12618" s="20"/>
      <c r="H12618"/>
      <c r="I12618"/>
    </row>
    <row r="12619" spans="2:9" ht="15" x14ac:dyDescent="0.25">
      <c r="B12619"/>
      <c r="C12619"/>
      <c r="D12619"/>
      <c r="E12619"/>
      <c r="F12619"/>
      <c r="G12619" s="20"/>
      <c r="H12619"/>
      <c r="I12619"/>
    </row>
    <row r="12620" spans="2:9" ht="15" x14ac:dyDescent="0.25">
      <c r="B12620"/>
      <c r="C12620"/>
      <c r="D12620"/>
      <c r="E12620"/>
      <c r="F12620"/>
      <c r="G12620" s="20"/>
      <c r="H12620"/>
      <c r="I12620"/>
    </row>
    <row r="12621" spans="2:9" ht="15" x14ac:dyDescent="0.25">
      <c r="B12621"/>
      <c r="C12621"/>
      <c r="D12621"/>
      <c r="E12621"/>
      <c r="F12621"/>
      <c r="G12621" s="20"/>
      <c r="H12621"/>
      <c r="I12621"/>
    </row>
    <row r="12622" spans="2:9" ht="15" x14ac:dyDescent="0.25">
      <c r="B12622"/>
      <c r="C12622"/>
      <c r="D12622"/>
      <c r="E12622"/>
      <c r="F12622"/>
      <c r="G12622" s="20"/>
      <c r="H12622"/>
      <c r="I12622"/>
    </row>
    <row r="12623" spans="2:9" ht="15" x14ac:dyDescent="0.25">
      <c r="B12623"/>
      <c r="C12623"/>
      <c r="D12623"/>
      <c r="E12623"/>
      <c r="F12623"/>
      <c r="G12623" s="20"/>
      <c r="H12623"/>
      <c r="I12623"/>
    </row>
    <row r="12624" spans="2:9" ht="15" x14ac:dyDescent="0.25">
      <c r="B12624"/>
      <c r="C12624"/>
      <c r="D12624"/>
      <c r="E12624"/>
      <c r="F12624"/>
      <c r="G12624" s="20"/>
      <c r="H12624"/>
      <c r="I12624"/>
    </row>
    <row r="12625" spans="2:9" ht="15" x14ac:dyDescent="0.25">
      <c r="B12625"/>
      <c r="C12625"/>
      <c r="D12625"/>
      <c r="E12625"/>
      <c r="F12625"/>
      <c r="G12625" s="20"/>
      <c r="H12625"/>
      <c r="I12625"/>
    </row>
    <row r="12626" spans="2:9" ht="15" x14ac:dyDescent="0.25">
      <c r="B12626"/>
      <c r="C12626"/>
      <c r="D12626"/>
      <c r="E12626"/>
      <c r="F12626"/>
      <c r="G12626" s="20"/>
      <c r="H12626"/>
      <c r="I12626"/>
    </row>
    <row r="12627" spans="2:9" ht="15" x14ac:dyDescent="0.25">
      <c r="B12627"/>
      <c r="C12627"/>
      <c r="D12627"/>
      <c r="E12627"/>
      <c r="F12627"/>
      <c r="G12627" s="20"/>
      <c r="H12627"/>
      <c r="I12627"/>
    </row>
    <row r="12628" spans="2:9" ht="15" x14ac:dyDescent="0.25">
      <c r="B12628"/>
      <c r="C12628"/>
      <c r="D12628"/>
      <c r="E12628"/>
      <c r="F12628"/>
      <c r="G12628" s="20"/>
      <c r="H12628"/>
      <c r="I12628"/>
    </row>
    <row r="12629" spans="2:9" ht="15" x14ac:dyDescent="0.25">
      <c r="B12629"/>
      <c r="C12629"/>
      <c r="D12629"/>
      <c r="E12629"/>
      <c r="F12629"/>
      <c r="G12629" s="20"/>
      <c r="H12629"/>
      <c r="I12629"/>
    </row>
    <row r="12630" spans="2:9" ht="15" x14ac:dyDescent="0.25">
      <c r="B12630"/>
      <c r="C12630"/>
      <c r="D12630"/>
      <c r="E12630"/>
      <c r="F12630"/>
      <c r="G12630" s="20"/>
      <c r="H12630"/>
      <c r="I12630"/>
    </row>
    <row r="12631" spans="2:9" ht="15" x14ac:dyDescent="0.25">
      <c r="B12631"/>
      <c r="C12631"/>
      <c r="D12631"/>
      <c r="E12631"/>
      <c r="F12631"/>
      <c r="G12631" s="20"/>
      <c r="H12631"/>
      <c r="I12631"/>
    </row>
    <row r="12632" spans="2:9" ht="15" x14ac:dyDescent="0.25">
      <c r="B12632"/>
      <c r="C12632"/>
      <c r="D12632"/>
      <c r="E12632"/>
      <c r="F12632"/>
      <c r="G12632" s="20"/>
      <c r="H12632"/>
      <c r="I12632"/>
    </row>
    <row r="12633" spans="2:9" ht="15" x14ac:dyDescent="0.25">
      <c r="B12633"/>
      <c r="C12633"/>
      <c r="D12633"/>
      <c r="E12633"/>
      <c r="F12633"/>
      <c r="G12633" s="20"/>
      <c r="H12633"/>
      <c r="I12633"/>
    </row>
    <row r="12634" spans="2:9" ht="15" x14ac:dyDescent="0.25">
      <c r="B12634"/>
      <c r="C12634"/>
      <c r="D12634"/>
      <c r="E12634"/>
      <c r="F12634"/>
      <c r="G12634" s="20"/>
      <c r="H12634"/>
      <c r="I12634"/>
    </row>
    <row r="12635" spans="2:9" ht="15" x14ac:dyDescent="0.25">
      <c r="B12635"/>
      <c r="C12635"/>
      <c r="D12635"/>
      <c r="E12635"/>
      <c r="F12635"/>
      <c r="G12635" s="20"/>
      <c r="H12635"/>
      <c r="I12635"/>
    </row>
    <row r="12636" spans="2:9" ht="15" x14ac:dyDescent="0.25">
      <c r="B12636"/>
      <c r="C12636"/>
      <c r="D12636"/>
      <c r="E12636"/>
      <c r="F12636"/>
      <c r="G12636" s="20"/>
      <c r="H12636"/>
      <c r="I12636"/>
    </row>
    <row r="12637" spans="2:9" ht="15" x14ac:dyDescent="0.25">
      <c r="B12637"/>
      <c r="C12637"/>
      <c r="D12637"/>
      <c r="E12637"/>
      <c r="F12637"/>
      <c r="G12637" s="20"/>
      <c r="H12637"/>
      <c r="I12637"/>
    </row>
    <row r="12638" spans="2:9" ht="15" x14ac:dyDescent="0.25">
      <c r="B12638"/>
      <c r="C12638"/>
      <c r="D12638"/>
      <c r="E12638"/>
      <c r="F12638"/>
      <c r="G12638" s="20"/>
      <c r="H12638"/>
      <c r="I12638"/>
    </row>
    <row r="12639" spans="2:9" ht="15" x14ac:dyDescent="0.25">
      <c r="B12639"/>
      <c r="C12639"/>
      <c r="D12639"/>
      <c r="E12639"/>
      <c r="F12639"/>
      <c r="G12639" s="20"/>
      <c r="H12639"/>
      <c r="I12639"/>
    </row>
    <row r="12640" spans="2:9" ht="15" x14ac:dyDescent="0.25">
      <c r="B12640"/>
      <c r="C12640"/>
      <c r="D12640"/>
      <c r="E12640"/>
      <c r="F12640"/>
      <c r="G12640" s="20"/>
      <c r="H12640"/>
      <c r="I12640"/>
    </row>
    <row r="12641" spans="2:9" ht="15" x14ac:dyDescent="0.25">
      <c r="B12641"/>
      <c r="C12641"/>
      <c r="D12641"/>
      <c r="E12641"/>
      <c r="F12641"/>
      <c r="G12641" s="20"/>
      <c r="H12641"/>
      <c r="I12641"/>
    </row>
    <row r="12642" spans="2:9" ht="15" x14ac:dyDescent="0.25">
      <c r="B12642"/>
      <c r="C12642"/>
      <c r="D12642"/>
      <c r="E12642"/>
      <c r="F12642"/>
      <c r="G12642" s="20"/>
      <c r="H12642"/>
      <c r="I12642"/>
    </row>
    <row r="12643" spans="2:9" ht="15" x14ac:dyDescent="0.25">
      <c r="B12643"/>
      <c r="C12643"/>
      <c r="D12643"/>
      <c r="E12643"/>
      <c r="F12643"/>
      <c r="G12643" s="20"/>
      <c r="H12643"/>
      <c r="I12643"/>
    </row>
    <row r="12644" spans="2:9" ht="15" x14ac:dyDescent="0.25">
      <c r="B12644"/>
      <c r="C12644"/>
      <c r="D12644"/>
      <c r="E12644"/>
      <c r="F12644"/>
      <c r="G12644" s="20"/>
      <c r="H12644"/>
      <c r="I12644"/>
    </row>
    <row r="12645" spans="2:9" ht="15" x14ac:dyDescent="0.25">
      <c r="B12645"/>
      <c r="C12645"/>
      <c r="D12645"/>
      <c r="E12645"/>
      <c r="F12645"/>
      <c r="G12645" s="20"/>
      <c r="H12645"/>
      <c r="I12645"/>
    </row>
    <row r="12646" spans="2:9" ht="15" x14ac:dyDescent="0.25">
      <c r="B12646"/>
      <c r="C12646"/>
      <c r="D12646"/>
      <c r="E12646"/>
      <c r="F12646"/>
      <c r="G12646" s="20"/>
      <c r="H12646"/>
      <c r="I12646"/>
    </row>
    <row r="12647" spans="2:9" ht="15" x14ac:dyDescent="0.25">
      <c r="B12647"/>
      <c r="C12647"/>
      <c r="D12647"/>
      <c r="E12647"/>
      <c r="F12647"/>
      <c r="G12647" s="20"/>
      <c r="H12647"/>
      <c r="I12647"/>
    </row>
    <row r="12648" spans="2:9" ht="15" x14ac:dyDescent="0.25">
      <c r="B12648"/>
      <c r="C12648"/>
      <c r="D12648"/>
      <c r="E12648"/>
      <c r="F12648"/>
      <c r="G12648" s="20"/>
      <c r="H12648"/>
      <c r="I12648"/>
    </row>
    <row r="12649" spans="2:9" ht="15" x14ac:dyDescent="0.25">
      <c r="B12649"/>
      <c r="C12649"/>
      <c r="D12649"/>
      <c r="E12649"/>
      <c r="F12649"/>
      <c r="G12649" s="20"/>
      <c r="H12649"/>
      <c r="I12649"/>
    </row>
    <row r="12650" spans="2:9" ht="15" x14ac:dyDescent="0.25">
      <c r="B12650"/>
      <c r="C12650"/>
      <c r="D12650"/>
      <c r="E12650"/>
      <c r="F12650"/>
      <c r="G12650" s="20"/>
      <c r="H12650"/>
      <c r="I12650"/>
    </row>
    <row r="12651" spans="2:9" ht="15" x14ac:dyDescent="0.25">
      <c r="B12651"/>
      <c r="C12651"/>
      <c r="D12651"/>
      <c r="E12651"/>
      <c r="F12651"/>
      <c r="G12651" s="20"/>
      <c r="H12651"/>
      <c r="I12651"/>
    </row>
    <row r="12652" spans="2:9" ht="15" x14ac:dyDescent="0.25">
      <c r="B12652"/>
      <c r="C12652"/>
      <c r="D12652"/>
      <c r="E12652"/>
      <c r="F12652"/>
      <c r="G12652" s="20"/>
      <c r="H12652"/>
      <c r="I12652"/>
    </row>
    <row r="12653" spans="2:9" ht="15" x14ac:dyDescent="0.25">
      <c r="B12653"/>
      <c r="C12653"/>
      <c r="D12653"/>
      <c r="E12653"/>
      <c r="F12653"/>
      <c r="G12653" s="20"/>
      <c r="H12653"/>
      <c r="I12653"/>
    </row>
    <row r="12654" spans="2:9" ht="15" x14ac:dyDescent="0.25">
      <c r="B12654"/>
      <c r="C12654"/>
      <c r="D12654"/>
      <c r="E12654"/>
      <c r="F12654"/>
      <c r="G12654" s="20"/>
      <c r="H12654"/>
      <c r="I12654"/>
    </row>
    <row r="12655" spans="2:9" ht="15" x14ac:dyDescent="0.25">
      <c r="B12655"/>
      <c r="C12655"/>
      <c r="D12655"/>
      <c r="E12655"/>
      <c r="F12655"/>
      <c r="G12655" s="20"/>
      <c r="H12655"/>
      <c r="I12655"/>
    </row>
    <row r="12656" spans="2:9" ht="15" x14ac:dyDescent="0.25">
      <c r="B12656"/>
      <c r="C12656"/>
      <c r="D12656"/>
      <c r="E12656"/>
      <c r="F12656"/>
      <c r="G12656" s="20"/>
      <c r="H12656"/>
      <c r="I12656"/>
    </row>
    <row r="12657" spans="2:9" ht="15" x14ac:dyDescent="0.25">
      <c r="B12657"/>
      <c r="C12657"/>
      <c r="D12657"/>
      <c r="E12657"/>
      <c r="F12657"/>
      <c r="G12657" s="20"/>
      <c r="H12657"/>
      <c r="I12657"/>
    </row>
    <row r="12658" spans="2:9" ht="15" x14ac:dyDescent="0.25">
      <c r="B12658"/>
      <c r="C12658"/>
      <c r="D12658"/>
      <c r="E12658"/>
      <c r="F12658"/>
      <c r="G12658" s="20"/>
      <c r="H12658"/>
      <c r="I12658"/>
    </row>
    <row r="12659" spans="2:9" ht="15" x14ac:dyDescent="0.25">
      <c r="B12659"/>
      <c r="C12659"/>
      <c r="D12659"/>
      <c r="E12659"/>
      <c r="F12659"/>
      <c r="G12659" s="20"/>
      <c r="H12659"/>
      <c r="I12659"/>
    </row>
    <row r="12660" spans="2:9" ht="15" x14ac:dyDescent="0.25">
      <c r="B12660"/>
      <c r="C12660"/>
      <c r="D12660"/>
      <c r="E12660"/>
      <c r="F12660"/>
      <c r="G12660" s="20"/>
      <c r="H12660"/>
      <c r="I12660"/>
    </row>
    <row r="12661" spans="2:9" ht="15" x14ac:dyDescent="0.25">
      <c r="B12661"/>
      <c r="C12661"/>
      <c r="D12661"/>
      <c r="E12661"/>
      <c r="F12661"/>
      <c r="G12661" s="20"/>
      <c r="H12661"/>
      <c r="I12661"/>
    </row>
    <row r="12662" spans="2:9" ht="15" x14ac:dyDescent="0.25">
      <c r="B12662"/>
      <c r="C12662"/>
      <c r="D12662"/>
      <c r="E12662"/>
      <c r="F12662"/>
      <c r="G12662" s="20"/>
      <c r="H12662"/>
      <c r="I12662"/>
    </row>
    <row r="12663" spans="2:9" ht="15" x14ac:dyDescent="0.25">
      <c r="B12663"/>
      <c r="C12663"/>
      <c r="D12663"/>
      <c r="E12663"/>
      <c r="F12663"/>
      <c r="G12663" s="20"/>
      <c r="H12663"/>
      <c r="I12663"/>
    </row>
    <row r="12664" spans="2:9" ht="15" x14ac:dyDescent="0.25">
      <c r="B12664"/>
      <c r="C12664"/>
      <c r="D12664"/>
      <c r="E12664"/>
      <c r="F12664"/>
      <c r="G12664" s="20"/>
      <c r="H12664"/>
      <c r="I12664"/>
    </row>
    <row r="12665" spans="2:9" ht="15" x14ac:dyDescent="0.25">
      <c r="B12665"/>
      <c r="C12665"/>
      <c r="D12665"/>
      <c r="E12665"/>
      <c r="F12665"/>
      <c r="G12665" s="20"/>
      <c r="H12665"/>
      <c r="I12665"/>
    </row>
    <row r="12666" spans="2:9" ht="15" x14ac:dyDescent="0.25">
      <c r="B12666"/>
      <c r="C12666"/>
      <c r="D12666"/>
      <c r="E12666"/>
      <c r="F12666"/>
      <c r="G12666" s="20"/>
      <c r="H12666"/>
      <c r="I12666"/>
    </row>
    <row r="12667" spans="2:9" ht="15" x14ac:dyDescent="0.25">
      <c r="B12667"/>
      <c r="C12667"/>
      <c r="D12667"/>
      <c r="E12667"/>
      <c r="F12667"/>
      <c r="G12667" s="20"/>
      <c r="H12667"/>
      <c r="I12667"/>
    </row>
    <row r="12668" spans="2:9" ht="15" x14ac:dyDescent="0.25">
      <c r="B12668"/>
      <c r="C12668"/>
      <c r="D12668"/>
      <c r="E12668"/>
      <c r="F12668"/>
      <c r="G12668" s="20"/>
      <c r="H12668"/>
      <c r="I12668"/>
    </row>
    <row r="12669" spans="2:9" ht="15" x14ac:dyDescent="0.25">
      <c r="B12669"/>
      <c r="C12669"/>
      <c r="D12669"/>
      <c r="E12669"/>
      <c r="F12669"/>
      <c r="G12669" s="20"/>
      <c r="H12669"/>
      <c r="I12669"/>
    </row>
    <row r="12670" spans="2:9" ht="15" x14ac:dyDescent="0.25">
      <c r="B12670"/>
      <c r="C12670"/>
      <c r="D12670"/>
      <c r="E12670"/>
      <c r="F12670"/>
      <c r="G12670" s="20"/>
      <c r="H12670"/>
      <c r="I12670"/>
    </row>
    <row r="12671" spans="2:9" ht="15" x14ac:dyDescent="0.25">
      <c r="B12671"/>
      <c r="C12671"/>
      <c r="D12671"/>
      <c r="E12671"/>
      <c r="F12671"/>
      <c r="G12671" s="20"/>
      <c r="H12671"/>
      <c r="I12671"/>
    </row>
    <row r="12672" spans="2:9" ht="15" x14ac:dyDescent="0.25">
      <c r="B12672"/>
      <c r="C12672"/>
      <c r="D12672"/>
      <c r="E12672"/>
      <c r="F12672"/>
      <c r="G12672" s="20"/>
      <c r="H12672"/>
      <c r="I12672"/>
    </row>
    <row r="12673" spans="2:9" ht="15" x14ac:dyDescent="0.25">
      <c r="B12673"/>
      <c r="C12673"/>
      <c r="D12673"/>
      <c r="E12673"/>
      <c r="F12673"/>
      <c r="G12673" s="20"/>
      <c r="H12673"/>
      <c r="I12673"/>
    </row>
    <row r="12674" spans="2:9" ht="15" x14ac:dyDescent="0.25">
      <c r="B12674"/>
      <c r="C12674"/>
      <c r="D12674"/>
      <c r="E12674"/>
      <c r="F12674"/>
      <c r="G12674" s="20"/>
      <c r="H12674"/>
      <c r="I12674"/>
    </row>
    <row r="12675" spans="2:9" ht="15" x14ac:dyDescent="0.25">
      <c r="B12675"/>
      <c r="C12675"/>
      <c r="D12675"/>
      <c r="E12675"/>
      <c r="F12675"/>
      <c r="G12675" s="20"/>
      <c r="H12675"/>
      <c r="I12675"/>
    </row>
    <row r="12676" spans="2:9" ht="15" x14ac:dyDescent="0.25">
      <c r="B12676"/>
      <c r="C12676"/>
      <c r="D12676"/>
      <c r="E12676"/>
      <c r="F12676"/>
      <c r="G12676" s="20"/>
      <c r="H12676"/>
      <c r="I12676"/>
    </row>
    <row r="12677" spans="2:9" ht="15" x14ac:dyDescent="0.25">
      <c r="B12677"/>
      <c r="C12677"/>
      <c r="D12677"/>
      <c r="E12677"/>
      <c r="F12677"/>
      <c r="G12677" s="20"/>
      <c r="H12677"/>
      <c r="I12677"/>
    </row>
    <row r="12678" spans="2:9" ht="15" x14ac:dyDescent="0.25">
      <c r="B12678"/>
      <c r="C12678"/>
      <c r="D12678"/>
      <c r="E12678"/>
      <c r="F12678"/>
      <c r="G12678" s="20"/>
      <c r="H12678"/>
      <c r="I12678"/>
    </row>
    <row r="12679" spans="2:9" ht="15" x14ac:dyDescent="0.25">
      <c r="B12679"/>
      <c r="C12679"/>
      <c r="D12679"/>
      <c r="E12679"/>
      <c r="F12679"/>
      <c r="G12679" s="20"/>
      <c r="H12679"/>
      <c r="I12679"/>
    </row>
    <row r="12680" spans="2:9" ht="15" x14ac:dyDescent="0.25">
      <c r="B12680"/>
      <c r="C12680"/>
      <c r="D12680"/>
      <c r="E12680"/>
      <c r="F12680"/>
      <c r="G12680" s="20"/>
      <c r="H12680"/>
      <c r="I12680"/>
    </row>
    <row r="12681" spans="2:9" ht="15" x14ac:dyDescent="0.25">
      <c r="B12681"/>
      <c r="C12681"/>
      <c r="D12681"/>
      <c r="E12681"/>
      <c r="F12681"/>
      <c r="G12681" s="20"/>
      <c r="H12681"/>
      <c r="I12681"/>
    </row>
    <row r="12682" spans="2:9" ht="15" x14ac:dyDescent="0.25">
      <c r="B12682"/>
      <c r="C12682"/>
      <c r="D12682"/>
      <c r="E12682"/>
      <c r="F12682"/>
      <c r="G12682" s="20"/>
      <c r="H12682"/>
      <c r="I12682"/>
    </row>
    <row r="12683" spans="2:9" ht="15" x14ac:dyDescent="0.25">
      <c r="B12683"/>
      <c r="C12683"/>
      <c r="D12683"/>
      <c r="E12683"/>
      <c r="F12683"/>
      <c r="G12683" s="20"/>
      <c r="H12683"/>
      <c r="I12683"/>
    </row>
    <row r="12684" spans="2:9" ht="15" x14ac:dyDescent="0.25">
      <c r="B12684"/>
      <c r="C12684"/>
      <c r="D12684"/>
      <c r="E12684"/>
      <c r="F12684"/>
      <c r="G12684" s="20"/>
      <c r="H12684"/>
      <c r="I12684"/>
    </row>
    <row r="12685" spans="2:9" ht="15" x14ac:dyDescent="0.25">
      <c r="B12685"/>
      <c r="C12685"/>
      <c r="D12685"/>
      <c r="E12685"/>
      <c r="F12685"/>
      <c r="G12685" s="20"/>
      <c r="H12685"/>
      <c r="I12685"/>
    </row>
    <row r="12686" spans="2:9" ht="15" x14ac:dyDescent="0.25">
      <c r="B12686"/>
      <c r="C12686"/>
      <c r="D12686"/>
      <c r="E12686"/>
      <c r="F12686"/>
      <c r="G12686" s="20"/>
      <c r="H12686"/>
      <c r="I12686"/>
    </row>
    <row r="12687" spans="2:9" ht="15" x14ac:dyDescent="0.25">
      <c r="B12687"/>
      <c r="C12687"/>
      <c r="D12687"/>
      <c r="E12687"/>
      <c r="F12687"/>
      <c r="G12687" s="20"/>
      <c r="H12687"/>
      <c r="I12687"/>
    </row>
    <row r="12688" spans="2:9" ht="15" x14ac:dyDescent="0.25">
      <c r="B12688"/>
      <c r="C12688"/>
      <c r="D12688"/>
      <c r="E12688"/>
      <c r="F12688"/>
      <c r="G12688" s="20"/>
      <c r="H12688"/>
      <c r="I12688"/>
    </row>
    <row r="12689" spans="2:9" ht="15" x14ac:dyDescent="0.25">
      <c r="B12689"/>
      <c r="C12689"/>
      <c r="D12689"/>
      <c r="E12689"/>
      <c r="F12689"/>
      <c r="G12689" s="20"/>
      <c r="H12689"/>
      <c r="I12689"/>
    </row>
    <row r="12690" spans="2:9" ht="15" x14ac:dyDescent="0.25">
      <c r="B12690"/>
      <c r="C12690"/>
      <c r="D12690"/>
      <c r="E12690"/>
      <c r="F12690"/>
      <c r="G12690" s="20"/>
      <c r="H12690"/>
      <c r="I12690"/>
    </row>
    <row r="12691" spans="2:9" ht="15" x14ac:dyDescent="0.25">
      <c r="B12691"/>
      <c r="C12691"/>
      <c r="D12691"/>
      <c r="E12691"/>
      <c r="F12691"/>
      <c r="G12691" s="20"/>
      <c r="H12691"/>
      <c r="I12691"/>
    </row>
    <row r="12692" spans="2:9" ht="15" x14ac:dyDescent="0.25">
      <c r="B12692"/>
      <c r="C12692"/>
      <c r="D12692"/>
      <c r="E12692"/>
      <c r="F12692"/>
      <c r="G12692" s="20"/>
      <c r="H12692"/>
      <c r="I12692"/>
    </row>
    <row r="12693" spans="2:9" ht="15" x14ac:dyDescent="0.25">
      <c r="B12693"/>
      <c r="C12693"/>
      <c r="D12693"/>
      <c r="E12693"/>
      <c r="F12693"/>
      <c r="G12693" s="20"/>
      <c r="H12693"/>
      <c r="I12693"/>
    </row>
    <row r="12694" spans="2:9" ht="15" x14ac:dyDescent="0.25">
      <c r="B12694"/>
      <c r="C12694"/>
      <c r="D12694"/>
      <c r="E12694"/>
      <c r="F12694"/>
      <c r="G12694" s="20"/>
      <c r="H12694"/>
      <c r="I12694"/>
    </row>
    <row r="12695" spans="2:9" ht="15" x14ac:dyDescent="0.25">
      <c r="B12695"/>
      <c r="C12695"/>
      <c r="D12695"/>
      <c r="E12695"/>
      <c r="F12695"/>
      <c r="G12695" s="20"/>
      <c r="H12695"/>
      <c r="I12695"/>
    </row>
    <row r="12696" spans="2:9" ht="15" x14ac:dyDescent="0.25">
      <c r="B12696"/>
      <c r="C12696"/>
      <c r="D12696"/>
      <c r="E12696"/>
      <c r="F12696"/>
      <c r="G12696" s="20"/>
      <c r="H12696"/>
      <c r="I12696"/>
    </row>
    <row r="12697" spans="2:9" ht="15" x14ac:dyDescent="0.25">
      <c r="B12697"/>
      <c r="C12697"/>
      <c r="D12697"/>
      <c r="E12697"/>
      <c r="F12697"/>
      <c r="G12697" s="20"/>
      <c r="H12697"/>
      <c r="I12697"/>
    </row>
    <row r="12698" spans="2:9" ht="15" x14ac:dyDescent="0.25">
      <c r="B12698"/>
      <c r="C12698"/>
      <c r="D12698"/>
      <c r="E12698"/>
      <c r="F12698"/>
      <c r="G12698" s="20"/>
      <c r="H12698"/>
      <c r="I12698"/>
    </row>
    <row r="12699" spans="2:9" ht="15" x14ac:dyDescent="0.25">
      <c r="B12699"/>
      <c r="C12699"/>
      <c r="D12699"/>
      <c r="E12699"/>
      <c r="F12699"/>
      <c r="G12699" s="20"/>
      <c r="H12699"/>
      <c r="I12699"/>
    </row>
    <row r="12700" spans="2:9" ht="15" x14ac:dyDescent="0.25">
      <c r="B12700"/>
      <c r="C12700"/>
      <c r="D12700"/>
      <c r="E12700"/>
      <c r="F12700"/>
      <c r="G12700" s="20"/>
      <c r="H12700"/>
      <c r="I12700"/>
    </row>
    <row r="12701" spans="2:9" ht="15" x14ac:dyDescent="0.25">
      <c r="B12701"/>
      <c r="C12701"/>
      <c r="D12701"/>
      <c r="E12701"/>
      <c r="F12701"/>
      <c r="G12701" s="20"/>
      <c r="H12701"/>
      <c r="I12701"/>
    </row>
    <row r="12702" spans="2:9" ht="15" x14ac:dyDescent="0.25">
      <c r="B12702"/>
      <c r="C12702"/>
      <c r="D12702"/>
      <c r="E12702"/>
      <c r="F12702"/>
      <c r="G12702" s="20"/>
      <c r="H12702"/>
      <c r="I12702"/>
    </row>
    <row r="12703" spans="2:9" ht="15" x14ac:dyDescent="0.25">
      <c r="B12703"/>
      <c r="C12703"/>
      <c r="D12703"/>
      <c r="E12703"/>
      <c r="F12703"/>
      <c r="G12703" s="20"/>
      <c r="H12703"/>
      <c r="I12703"/>
    </row>
    <row r="12704" spans="2:9" ht="15" x14ac:dyDescent="0.25">
      <c r="B12704"/>
      <c r="C12704"/>
      <c r="D12704"/>
      <c r="E12704"/>
      <c r="F12704"/>
      <c r="G12704" s="20"/>
      <c r="H12704"/>
      <c r="I12704"/>
    </row>
    <row r="12705" spans="2:9" ht="15" x14ac:dyDescent="0.25">
      <c r="B12705"/>
      <c r="C12705"/>
      <c r="D12705"/>
      <c r="E12705"/>
      <c r="F12705"/>
      <c r="G12705" s="20"/>
      <c r="H12705"/>
      <c r="I12705"/>
    </row>
    <row r="12706" spans="2:9" ht="15" x14ac:dyDescent="0.25">
      <c r="B12706"/>
      <c r="C12706"/>
      <c r="D12706"/>
      <c r="E12706"/>
      <c r="F12706"/>
      <c r="G12706" s="20"/>
      <c r="H12706"/>
      <c r="I12706"/>
    </row>
    <row r="12707" spans="2:9" ht="15" x14ac:dyDescent="0.25">
      <c r="B12707"/>
      <c r="C12707"/>
      <c r="D12707"/>
      <c r="E12707"/>
      <c r="F12707"/>
      <c r="G12707" s="20"/>
      <c r="H12707"/>
      <c r="I12707"/>
    </row>
    <row r="12708" spans="2:9" ht="15" x14ac:dyDescent="0.25">
      <c r="B12708"/>
      <c r="C12708"/>
      <c r="D12708"/>
      <c r="E12708"/>
      <c r="F12708"/>
      <c r="G12708" s="20"/>
      <c r="H12708"/>
      <c r="I12708"/>
    </row>
    <row r="12709" spans="2:9" ht="15" x14ac:dyDescent="0.25">
      <c r="B12709"/>
      <c r="C12709"/>
      <c r="D12709"/>
      <c r="E12709"/>
      <c r="F12709"/>
      <c r="G12709" s="20"/>
      <c r="H12709"/>
      <c r="I12709"/>
    </row>
    <row r="12710" spans="2:9" ht="15" x14ac:dyDescent="0.25">
      <c r="B12710"/>
      <c r="C12710"/>
      <c r="D12710"/>
      <c r="E12710"/>
      <c r="F12710"/>
      <c r="G12710" s="20"/>
      <c r="H12710"/>
      <c r="I12710"/>
    </row>
    <row r="12711" spans="2:9" ht="15" x14ac:dyDescent="0.25">
      <c r="B12711"/>
      <c r="C12711"/>
      <c r="D12711"/>
      <c r="E12711"/>
      <c r="F12711"/>
      <c r="G12711" s="20"/>
      <c r="H12711"/>
      <c r="I12711"/>
    </row>
    <row r="12712" spans="2:9" ht="15" x14ac:dyDescent="0.25">
      <c r="B12712"/>
      <c r="C12712"/>
      <c r="D12712"/>
      <c r="E12712"/>
      <c r="F12712"/>
      <c r="G12712" s="20"/>
      <c r="H12712"/>
      <c r="I12712"/>
    </row>
    <row r="12713" spans="2:9" ht="15" x14ac:dyDescent="0.25">
      <c r="B12713"/>
      <c r="C12713"/>
      <c r="D12713"/>
      <c r="E12713"/>
      <c r="F12713"/>
      <c r="G12713" s="20"/>
      <c r="H12713"/>
      <c r="I12713"/>
    </row>
    <row r="12714" spans="2:9" ht="15" x14ac:dyDescent="0.25">
      <c r="B12714"/>
      <c r="C12714"/>
      <c r="D12714"/>
      <c r="E12714"/>
      <c r="F12714"/>
      <c r="G12714" s="20"/>
      <c r="H12714"/>
      <c r="I12714"/>
    </row>
    <row r="12715" spans="2:9" ht="15" x14ac:dyDescent="0.25">
      <c r="B12715"/>
      <c r="C12715"/>
      <c r="D12715"/>
      <c r="E12715"/>
      <c r="F12715"/>
      <c r="G12715" s="20"/>
      <c r="H12715"/>
      <c r="I12715"/>
    </row>
    <row r="12716" spans="2:9" ht="15" x14ac:dyDescent="0.25">
      <c r="B12716"/>
      <c r="C12716"/>
      <c r="D12716"/>
      <c r="E12716"/>
      <c r="F12716"/>
      <c r="G12716" s="20"/>
      <c r="H12716"/>
      <c r="I12716"/>
    </row>
    <row r="12717" spans="2:9" ht="15" x14ac:dyDescent="0.25">
      <c r="B12717"/>
      <c r="C12717"/>
      <c r="D12717"/>
      <c r="E12717"/>
      <c r="F12717"/>
      <c r="G12717" s="20"/>
      <c r="H12717"/>
      <c r="I12717"/>
    </row>
    <row r="12718" spans="2:9" ht="15" x14ac:dyDescent="0.25">
      <c r="B12718"/>
      <c r="C12718"/>
      <c r="D12718"/>
      <c r="E12718"/>
      <c r="F12718"/>
      <c r="G12718" s="20"/>
      <c r="H12718"/>
      <c r="I12718"/>
    </row>
    <row r="12719" spans="2:9" ht="15" x14ac:dyDescent="0.25">
      <c r="B12719"/>
      <c r="C12719"/>
      <c r="D12719"/>
      <c r="E12719"/>
      <c r="F12719"/>
      <c r="G12719" s="20"/>
      <c r="H12719"/>
      <c r="I12719"/>
    </row>
    <row r="12720" spans="2:9" ht="15" x14ac:dyDescent="0.25">
      <c r="B12720"/>
      <c r="C12720"/>
      <c r="D12720"/>
      <c r="E12720"/>
      <c r="F12720"/>
      <c r="G12720" s="20"/>
      <c r="H12720"/>
      <c r="I12720"/>
    </row>
    <row r="12721" spans="2:9" ht="15" x14ac:dyDescent="0.25">
      <c r="B12721"/>
      <c r="C12721"/>
      <c r="D12721"/>
      <c r="E12721"/>
      <c r="F12721"/>
      <c r="G12721" s="20"/>
      <c r="H12721"/>
      <c r="I12721"/>
    </row>
    <row r="12722" spans="2:9" ht="15" x14ac:dyDescent="0.25">
      <c r="B12722"/>
      <c r="C12722"/>
      <c r="D12722"/>
      <c r="E12722"/>
      <c r="F12722"/>
      <c r="G12722" s="20"/>
      <c r="H12722"/>
      <c r="I12722"/>
    </row>
    <row r="12723" spans="2:9" ht="15" x14ac:dyDescent="0.25">
      <c r="B12723"/>
      <c r="C12723"/>
      <c r="D12723"/>
      <c r="E12723"/>
      <c r="F12723"/>
      <c r="G12723" s="20"/>
      <c r="H12723"/>
      <c r="I12723"/>
    </row>
    <row r="12724" spans="2:9" ht="15" x14ac:dyDescent="0.25">
      <c r="B12724"/>
      <c r="C12724"/>
      <c r="D12724"/>
      <c r="E12724"/>
      <c r="F12724"/>
      <c r="G12724" s="20"/>
      <c r="H12724"/>
      <c r="I12724"/>
    </row>
    <row r="12725" spans="2:9" ht="15" x14ac:dyDescent="0.25">
      <c r="B12725"/>
      <c r="C12725"/>
      <c r="D12725"/>
      <c r="E12725"/>
      <c r="F12725"/>
      <c r="G12725" s="20"/>
      <c r="H12725"/>
      <c r="I12725"/>
    </row>
    <row r="12726" spans="2:9" ht="15" x14ac:dyDescent="0.25">
      <c r="B12726"/>
      <c r="C12726"/>
      <c r="D12726"/>
      <c r="E12726"/>
      <c r="F12726"/>
      <c r="G12726" s="20"/>
      <c r="H12726"/>
      <c r="I12726"/>
    </row>
    <row r="12727" spans="2:9" ht="15" x14ac:dyDescent="0.25">
      <c r="B12727"/>
      <c r="C12727"/>
      <c r="D12727"/>
      <c r="E12727"/>
      <c r="F12727"/>
      <c r="G12727" s="20"/>
      <c r="H12727"/>
      <c r="I12727"/>
    </row>
    <row r="12728" spans="2:9" ht="15" x14ac:dyDescent="0.25">
      <c r="B12728"/>
      <c r="C12728"/>
      <c r="D12728"/>
      <c r="E12728"/>
      <c r="F12728"/>
      <c r="G12728" s="20"/>
      <c r="H12728"/>
      <c r="I12728"/>
    </row>
    <row r="12729" spans="2:9" ht="15" x14ac:dyDescent="0.25">
      <c r="B12729"/>
      <c r="C12729"/>
      <c r="D12729"/>
      <c r="E12729"/>
      <c r="F12729"/>
      <c r="G12729" s="20"/>
      <c r="H12729"/>
      <c r="I12729"/>
    </row>
    <row r="12730" spans="2:9" ht="15" x14ac:dyDescent="0.25">
      <c r="B12730"/>
      <c r="C12730"/>
      <c r="D12730"/>
      <c r="E12730"/>
      <c r="F12730"/>
      <c r="G12730" s="20"/>
      <c r="H12730"/>
      <c r="I12730"/>
    </row>
    <row r="12731" spans="2:9" ht="15" x14ac:dyDescent="0.25">
      <c r="B12731"/>
      <c r="C12731"/>
      <c r="D12731"/>
      <c r="E12731"/>
      <c r="F12731"/>
      <c r="G12731" s="20"/>
      <c r="H12731"/>
      <c r="I12731"/>
    </row>
    <row r="12732" spans="2:9" ht="15" x14ac:dyDescent="0.25">
      <c r="B12732"/>
      <c r="C12732"/>
      <c r="D12732"/>
      <c r="E12732"/>
      <c r="F12732"/>
      <c r="G12732" s="20"/>
      <c r="H12732"/>
      <c r="I12732"/>
    </row>
    <row r="12733" spans="2:9" ht="15" x14ac:dyDescent="0.25">
      <c r="B12733"/>
      <c r="C12733"/>
      <c r="D12733"/>
      <c r="E12733"/>
      <c r="F12733"/>
      <c r="G12733" s="20"/>
      <c r="H12733"/>
      <c r="I12733"/>
    </row>
    <row r="12734" spans="2:9" ht="15" x14ac:dyDescent="0.25">
      <c r="B12734"/>
      <c r="C12734"/>
      <c r="D12734"/>
      <c r="E12734"/>
      <c r="F12734"/>
      <c r="G12734" s="20"/>
      <c r="H12734"/>
      <c r="I12734"/>
    </row>
    <row r="12735" spans="2:9" ht="15" x14ac:dyDescent="0.25">
      <c r="B12735"/>
      <c r="C12735"/>
      <c r="D12735"/>
      <c r="E12735"/>
      <c r="F12735"/>
      <c r="G12735" s="20"/>
      <c r="H12735"/>
      <c r="I12735"/>
    </row>
    <row r="12736" spans="2:9" ht="15" x14ac:dyDescent="0.25">
      <c r="B12736"/>
      <c r="C12736"/>
      <c r="D12736"/>
      <c r="E12736"/>
      <c r="F12736"/>
      <c r="G12736" s="20"/>
      <c r="H12736"/>
      <c r="I12736"/>
    </row>
    <row r="12737" spans="2:9" ht="15" x14ac:dyDescent="0.25">
      <c r="B12737"/>
      <c r="C12737"/>
      <c r="D12737"/>
      <c r="E12737"/>
      <c r="F12737"/>
      <c r="G12737" s="20"/>
      <c r="H12737"/>
      <c r="I12737"/>
    </row>
    <row r="12738" spans="2:9" ht="15" x14ac:dyDescent="0.25">
      <c r="B12738"/>
      <c r="C12738"/>
      <c r="D12738"/>
      <c r="E12738"/>
      <c r="F12738"/>
      <c r="G12738" s="20"/>
      <c r="H12738"/>
      <c r="I12738"/>
    </row>
    <row r="12739" spans="2:9" ht="15" x14ac:dyDescent="0.25">
      <c r="B12739"/>
      <c r="C12739"/>
      <c r="D12739"/>
      <c r="E12739"/>
      <c r="F12739"/>
      <c r="G12739" s="20"/>
      <c r="H12739"/>
      <c r="I12739"/>
    </row>
    <row r="12740" spans="2:9" ht="15" x14ac:dyDescent="0.25">
      <c r="B12740"/>
      <c r="C12740"/>
      <c r="D12740"/>
      <c r="E12740"/>
      <c r="F12740"/>
      <c r="G12740" s="20"/>
      <c r="H12740"/>
      <c r="I12740"/>
    </row>
    <row r="12741" spans="2:9" ht="15" x14ac:dyDescent="0.25">
      <c r="B12741"/>
      <c r="C12741"/>
      <c r="D12741"/>
      <c r="E12741"/>
      <c r="F12741"/>
      <c r="G12741" s="20"/>
      <c r="H12741"/>
      <c r="I12741"/>
    </row>
    <row r="12742" spans="2:9" ht="15" x14ac:dyDescent="0.25">
      <c r="B12742"/>
      <c r="C12742"/>
      <c r="D12742"/>
      <c r="E12742"/>
      <c r="F12742"/>
      <c r="G12742" s="20"/>
      <c r="H12742"/>
      <c r="I12742"/>
    </row>
    <row r="12743" spans="2:9" ht="15" x14ac:dyDescent="0.25">
      <c r="B12743"/>
      <c r="C12743"/>
      <c r="D12743"/>
      <c r="E12743"/>
      <c r="F12743"/>
      <c r="G12743" s="20"/>
      <c r="H12743"/>
      <c r="I12743"/>
    </row>
    <row r="12744" spans="2:9" ht="15" x14ac:dyDescent="0.25">
      <c r="B12744"/>
      <c r="C12744"/>
      <c r="D12744"/>
      <c r="E12744"/>
      <c r="F12744"/>
      <c r="G12744" s="20"/>
      <c r="H12744"/>
      <c r="I12744"/>
    </row>
    <row r="12745" spans="2:9" ht="15" x14ac:dyDescent="0.25">
      <c r="B12745"/>
      <c r="C12745"/>
      <c r="D12745"/>
      <c r="E12745"/>
      <c r="F12745"/>
      <c r="G12745" s="20"/>
      <c r="H12745"/>
      <c r="I12745"/>
    </row>
    <row r="12746" spans="2:9" ht="15" x14ac:dyDescent="0.25">
      <c r="B12746"/>
      <c r="C12746"/>
      <c r="D12746"/>
      <c r="E12746"/>
      <c r="F12746"/>
      <c r="G12746" s="20"/>
      <c r="H12746"/>
      <c r="I12746"/>
    </row>
    <row r="12747" spans="2:9" ht="15" x14ac:dyDescent="0.25">
      <c r="B12747"/>
      <c r="C12747"/>
      <c r="D12747"/>
      <c r="E12747"/>
      <c r="F12747"/>
      <c r="G12747" s="20"/>
      <c r="H12747"/>
      <c r="I12747"/>
    </row>
    <row r="12748" spans="2:9" ht="15" x14ac:dyDescent="0.25">
      <c r="B12748"/>
      <c r="C12748"/>
      <c r="D12748"/>
      <c r="E12748"/>
      <c r="F12748"/>
      <c r="G12748" s="20"/>
      <c r="H12748"/>
      <c r="I12748"/>
    </row>
    <row r="12749" spans="2:9" ht="15" x14ac:dyDescent="0.25">
      <c r="B12749"/>
      <c r="C12749"/>
      <c r="D12749"/>
      <c r="E12749"/>
      <c r="F12749"/>
      <c r="G12749" s="20"/>
      <c r="H12749"/>
      <c r="I12749"/>
    </row>
    <row r="12750" spans="2:9" ht="15" x14ac:dyDescent="0.25">
      <c r="B12750"/>
      <c r="C12750"/>
      <c r="D12750"/>
      <c r="E12750"/>
      <c r="F12750"/>
      <c r="G12750" s="20"/>
      <c r="H12750"/>
      <c r="I12750"/>
    </row>
    <row r="12751" spans="2:9" ht="15" x14ac:dyDescent="0.25">
      <c r="B12751"/>
      <c r="C12751"/>
      <c r="D12751"/>
      <c r="E12751"/>
      <c r="F12751"/>
      <c r="G12751" s="20"/>
      <c r="H12751"/>
      <c r="I12751"/>
    </row>
    <row r="12752" spans="2:9" ht="15" x14ac:dyDescent="0.25">
      <c r="B12752"/>
      <c r="C12752"/>
      <c r="D12752"/>
      <c r="E12752"/>
      <c r="F12752"/>
      <c r="G12752" s="20"/>
      <c r="H12752"/>
      <c r="I12752"/>
    </row>
    <row r="12753" spans="2:9" ht="15" x14ac:dyDescent="0.25">
      <c r="B12753"/>
      <c r="C12753"/>
      <c r="D12753"/>
      <c r="E12753"/>
      <c r="F12753"/>
      <c r="G12753" s="20"/>
      <c r="H12753"/>
      <c r="I12753"/>
    </row>
    <row r="12754" spans="2:9" ht="15" x14ac:dyDescent="0.25">
      <c r="B12754"/>
      <c r="C12754"/>
      <c r="D12754"/>
      <c r="E12754"/>
      <c r="F12754"/>
      <c r="G12754" s="20"/>
      <c r="H12754"/>
      <c r="I12754"/>
    </row>
    <row r="12755" spans="2:9" ht="15" x14ac:dyDescent="0.25">
      <c r="B12755"/>
      <c r="C12755"/>
      <c r="D12755"/>
      <c r="E12755"/>
      <c r="F12755"/>
      <c r="G12755" s="20"/>
      <c r="H12755"/>
      <c r="I12755"/>
    </row>
    <row r="12756" spans="2:9" ht="15" x14ac:dyDescent="0.25">
      <c r="B12756"/>
      <c r="C12756"/>
      <c r="D12756"/>
      <c r="E12756"/>
      <c r="F12756"/>
      <c r="G12756" s="20"/>
      <c r="H12756"/>
      <c r="I12756"/>
    </row>
    <row r="12757" spans="2:9" ht="15" x14ac:dyDescent="0.25">
      <c r="B12757"/>
      <c r="C12757"/>
      <c r="D12757"/>
      <c r="E12757"/>
      <c r="F12757"/>
      <c r="G12757" s="20"/>
      <c r="H12757"/>
      <c r="I12757"/>
    </row>
    <row r="12758" spans="2:9" ht="15" x14ac:dyDescent="0.25">
      <c r="B12758"/>
      <c r="C12758"/>
      <c r="D12758"/>
      <c r="E12758"/>
      <c r="F12758"/>
      <c r="G12758" s="20"/>
      <c r="H12758"/>
      <c r="I12758"/>
    </row>
    <row r="12759" spans="2:9" ht="15" x14ac:dyDescent="0.25">
      <c r="B12759"/>
      <c r="C12759"/>
      <c r="D12759"/>
      <c r="E12759"/>
      <c r="F12759"/>
      <c r="G12759" s="20"/>
      <c r="H12759"/>
      <c r="I12759"/>
    </row>
    <row r="12760" spans="2:9" ht="15" x14ac:dyDescent="0.25">
      <c r="B12760"/>
      <c r="C12760"/>
      <c r="D12760"/>
      <c r="E12760"/>
      <c r="F12760"/>
      <c r="G12760" s="20"/>
      <c r="H12760"/>
      <c r="I12760"/>
    </row>
    <row r="12761" spans="2:9" ht="15" x14ac:dyDescent="0.25">
      <c r="B12761"/>
      <c r="C12761"/>
      <c r="D12761"/>
      <c r="E12761"/>
      <c r="F12761"/>
      <c r="G12761" s="20"/>
      <c r="H12761"/>
      <c r="I12761"/>
    </row>
    <row r="12762" spans="2:9" ht="15" x14ac:dyDescent="0.25">
      <c r="B12762"/>
      <c r="C12762"/>
      <c r="D12762"/>
      <c r="E12762"/>
      <c r="F12762"/>
      <c r="G12762" s="20"/>
      <c r="H12762"/>
      <c r="I12762"/>
    </row>
    <row r="12763" spans="2:9" ht="15" x14ac:dyDescent="0.25">
      <c r="B12763"/>
      <c r="C12763"/>
      <c r="D12763"/>
      <c r="E12763"/>
      <c r="F12763"/>
      <c r="G12763" s="20"/>
      <c r="H12763"/>
      <c r="I12763"/>
    </row>
    <row r="12764" spans="2:9" ht="15" x14ac:dyDescent="0.25">
      <c r="B12764"/>
      <c r="C12764"/>
      <c r="D12764"/>
      <c r="E12764"/>
      <c r="F12764"/>
      <c r="G12764" s="20"/>
      <c r="H12764"/>
      <c r="I12764"/>
    </row>
    <row r="12765" spans="2:9" ht="15" x14ac:dyDescent="0.25">
      <c r="B12765"/>
      <c r="C12765"/>
      <c r="D12765"/>
      <c r="E12765"/>
      <c r="F12765"/>
      <c r="G12765" s="20"/>
      <c r="H12765"/>
      <c r="I12765"/>
    </row>
    <row r="12766" spans="2:9" ht="15" x14ac:dyDescent="0.25">
      <c r="B12766"/>
      <c r="C12766"/>
      <c r="D12766"/>
      <c r="E12766"/>
      <c r="F12766"/>
      <c r="G12766" s="20"/>
      <c r="H12766"/>
      <c r="I12766"/>
    </row>
    <row r="12767" spans="2:9" ht="15" x14ac:dyDescent="0.25">
      <c r="B12767"/>
      <c r="C12767"/>
      <c r="D12767"/>
      <c r="E12767"/>
      <c r="F12767"/>
      <c r="G12767" s="20"/>
      <c r="H12767"/>
      <c r="I12767"/>
    </row>
    <row r="12768" spans="2:9" ht="15" x14ac:dyDescent="0.25">
      <c r="B12768"/>
      <c r="C12768"/>
      <c r="D12768"/>
      <c r="E12768"/>
      <c r="F12768"/>
      <c r="G12768" s="20"/>
      <c r="H12768"/>
      <c r="I12768"/>
    </row>
    <row r="12769" spans="2:9" ht="15" x14ac:dyDescent="0.25">
      <c r="B12769"/>
      <c r="C12769"/>
      <c r="D12769"/>
      <c r="E12769"/>
      <c r="F12769"/>
      <c r="G12769" s="20"/>
      <c r="H12769"/>
      <c r="I12769"/>
    </row>
    <row r="12770" spans="2:9" ht="15" x14ac:dyDescent="0.25">
      <c r="B12770"/>
      <c r="C12770"/>
      <c r="D12770"/>
      <c r="E12770"/>
      <c r="F12770"/>
      <c r="G12770" s="20"/>
      <c r="H12770"/>
      <c r="I12770"/>
    </row>
    <row r="12771" spans="2:9" ht="15" x14ac:dyDescent="0.25">
      <c r="B12771"/>
      <c r="C12771"/>
      <c r="D12771"/>
      <c r="E12771"/>
      <c r="F12771"/>
      <c r="G12771" s="20"/>
      <c r="H12771"/>
      <c r="I12771"/>
    </row>
    <row r="12772" spans="2:9" ht="15" x14ac:dyDescent="0.25">
      <c r="B12772"/>
      <c r="C12772"/>
      <c r="D12772"/>
      <c r="E12772"/>
      <c r="F12772"/>
      <c r="G12772" s="20"/>
      <c r="H12772"/>
      <c r="I12772"/>
    </row>
    <row r="12773" spans="2:9" ht="15" x14ac:dyDescent="0.25">
      <c r="B12773"/>
      <c r="C12773"/>
      <c r="D12773"/>
      <c r="E12773"/>
      <c r="F12773"/>
      <c r="G12773" s="20"/>
      <c r="H12773"/>
      <c r="I12773"/>
    </row>
    <row r="12774" spans="2:9" ht="15" x14ac:dyDescent="0.25">
      <c r="B12774"/>
      <c r="C12774"/>
      <c r="D12774"/>
      <c r="E12774"/>
      <c r="F12774"/>
      <c r="G12774" s="20"/>
      <c r="H12774"/>
      <c r="I12774"/>
    </row>
    <row r="12775" spans="2:9" ht="15" x14ac:dyDescent="0.25">
      <c r="B12775"/>
      <c r="C12775"/>
      <c r="D12775"/>
      <c r="E12775"/>
      <c r="F12775"/>
      <c r="G12775" s="20"/>
      <c r="H12775"/>
      <c r="I12775"/>
    </row>
    <row r="12776" spans="2:9" ht="15" x14ac:dyDescent="0.25">
      <c r="B12776"/>
      <c r="C12776"/>
      <c r="D12776"/>
      <c r="E12776"/>
      <c r="F12776"/>
      <c r="G12776" s="20"/>
      <c r="H12776"/>
      <c r="I12776"/>
    </row>
    <row r="12777" spans="2:9" ht="15" x14ac:dyDescent="0.25">
      <c r="B12777"/>
      <c r="C12777"/>
      <c r="D12777"/>
      <c r="E12777"/>
      <c r="F12777"/>
      <c r="G12777" s="20"/>
      <c r="H12777"/>
      <c r="I12777"/>
    </row>
    <row r="12778" spans="2:9" ht="15" x14ac:dyDescent="0.25">
      <c r="B12778"/>
      <c r="C12778"/>
      <c r="D12778"/>
      <c r="E12778"/>
      <c r="F12778"/>
      <c r="G12778" s="20"/>
      <c r="H12778"/>
      <c r="I12778"/>
    </row>
    <row r="12779" spans="2:9" ht="15" x14ac:dyDescent="0.25">
      <c r="B12779"/>
      <c r="C12779"/>
      <c r="D12779"/>
      <c r="E12779"/>
      <c r="F12779"/>
      <c r="G12779" s="20"/>
      <c r="H12779"/>
      <c r="I12779"/>
    </row>
    <row r="12780" spans="2:9" ht="15" x14ac:dyDescent="0.25">
      <c r="B12780"/>
      <c r="C12780"/>
      <c r="D12780"/>
      <c r="E12780"/>
      <c r="F12780"/>
      <c r="G12780" s="20"/>
      <c r="H12780"/>
      <c r="I12780"/>
    </row>
    <row r="12781" spans="2:9" ht="15" x14ac:dyDescent="0.25">
      <c r="B12781"/>
      <c r="C12781"/>
      <c r="D12781"/>
      <c r="E12781"/>
      <c r="F12781"/>
      <c r="G12781" s="20"/>
      <c r="H12781"/>
      <c r="I12781"/>
    </row>
    <row r="12782" spans="2:9" ht="15" x14ac:dyDescent="0.25">
      <c r="B12782"/>
      <c r="C12782"/>
      <c r="D12782"/>
      <c r="E12782"/>
      <c r="F12782"/>
      <c r="G12782" s="20"/>
      <c r="H12782"/>
      <c r="I12782"/>
    </row>
    <row r="12783" spans="2:9" ht="15" x14ac:dyDescent="0.25">
      <c r="B12783"/>
      <c r="C12783"/>
      <c r="D12783"/>
      <c r="E12783"/>
      <c r="F12783"/>
      <c r="G12783" s="20"/>
      <c r="H12783"/>
      <c r="I12783"/>
    </row>
    <row r="12784" spans="2:9" ht="15" x14ac:dyDescent="0.25">
      <c r="B12784"/>
      <c r="C12784"/>
      <c r="D12784"/>
      <c r="E12784"/>
      <c r="F12784"/>
      <c r="G12784" s="20"/>
      <c r="H12784"/>
      <c r="I12784"/>
    </row>
    <row r="12785" spans="2:9" ht="15" x14ac:dyDescent="0.25">
      <c r="B12785"/>
      <c r="C12785"/>
      <c r="D12785"/>
      <c r="E12785"/>
      <c r="F12785"/>
      <c r="G12785" s="20"/>
      <c r="H12785"/>
      <c r="I12785"/>
    </row>
    <row r="12786" spans="2:9" ht="15" x14ac:dyDescent="0.25">
      <c r="B12786"/>
      <c r="C12786"/>
      <c r="D12786"/>
      <c r="E12786"/>
      <c r="F12786"/>
      <c r="G12786" s="20"/>
      <c r="H12786"/>
      <c r="I12786"/>
    </row>
    <row r="12787" spans="2:9" ht="15" x14ac:dyDescent="0.25">
      <c r="B12787"/>
      <c r="C12787"/>
      <c r="D12787"/>
      <c r="E12787"/>
      <c r="F12787"/>
      <c r="G12787" s="20"/>
      <c r="H12787"/>
      <c r="I12787"/>
    </row>
    <row r="12788" spans="2:9" ht="15" x14ac:dyDescent="0.25">
      <c r="B12788"/>
      <c r="C12788"/>
      <c r="D12788"/>
      <c r="E12788"/>
      <c r="F12788"/>
      <c r="G12788" s="20"/>
      <c r="H12788"/>
      <c r="I12788"/>
    </row>
    <row r="12789" spans="2:9" ht="15" x14ac:dyDescent="0.25">
      <c r="B12789"/>
      <c r="C12789"/>
      <c r="D12789"/>
      <c r="E12789"/>
      <c r="F12789"/>
      <c r="G12789" s="20"/>
      <c r="H12789"/>
      <c r="I12789"/>
    </row>
    <row r="12790" spans="2:9" ht="15" x14ac:dyDescent="0.25">
      <c r="B12790"/>
      <c r="C12790"/>
      <c r="D12790"/>
      <c r="E12790"/>
      <c r="F12790"/>
      <c r="G12790" s="20"/>
      <c r="H12790"/>
      <c r="I12790"/>
    </row>
    <row r="12791" spans="2:9" ht="15" x14ac:dyDescent="0.25">
      <c r="B12791"/>
      <c r="C12791"/>
      <c r="D12791"/>
      <c r="E12791"/>
      <c r="F12791"/>
      <c r="G12791" s="20"/>
      <c r="H12791"/>
      <c r="I12791"/>
    </row>
    <row r="12792" spans="2:9" ht="15" x14ac:dyDescent="0.25">
      <c r="B12792"/>
      <c r="C12792"/>
      <c r="D12792"/>
      <c r="E12792"/>
      <c r="F12792"/>
      <c r="G12792" s="20"/>
      <c r="H12792"/>
      <c r="I12792"/>
    </row>
    <row r="12793" spans="2:9" ht="15" x14ac:dyDescent="0.25">
      <c r="B12793"/>
      <c r="C12793"/>
      <c r="D12793"/>
      <c r="E12793"/>
      <c r="F12793"/>
      <c r="G12793" s="20"/>
      <c r="H12793"/>
      <c r="I12793"/>
    </row>
    <row r="12794" spans="2:9" ht="15" x14ac:dyDescent="0.25">
      <c r="B12794"/>
      <c r="C12794"/>
      <c r="D12794"/>
      <c r="E12794"/>
      <c r="F12794"/>
      <c r="G12794" s="20"/>
      <c r="H12794"/>
      <c r="I12794"/>
    </row>
    <row r="12795" spans="2:9" ht="15" x14ac:dyDescent="0.25">
      <c r="B12795"/>
      <c r="C12795"/>
      <c r="D12795"/>
      <c r="E12795"/>
      <c r="F12795"/>
      <c r="G12795" s="20"/>
      <c r="H12795"/>
      <c r="I12795"/>
    </row>
    <row r="12796" spans="2:9" ht="15" x14ac:dyDescent="0.25">
      <c r="B12796"/>
      <c r="C12796"/>
      <c r="D12796"/>
      <c r="E12796"/>
      <c r="F12796"/>
      <c r="G12796" s="20"/>
      <c r="H12796"/>
      <c r="I12796"/>
    </row>
    <row r="12797" spans="2:9" ht="15" x14ac:dyDescent="0.25">
      <c r="B12797"/>
      <c r="C12797"/>
      <c r="D12797"/>
      <c r="E12797"/>
      <c r="F12797"/>
      <c r="G12797" s="20"/>
      <c r="H12797"/>
      <c r="I12797"/>
    </row>
    <row r="12798" spans="2:9" ht="15" x14ac:dyDescent="0.25">
      <c r="B12798"/>
      <c r="C12798"/>
      <c r="D12798"/>
      <c r="E12798"/>
      <c r="F12798"/>
      <c r="G12798" s="20"/>
      <c r="H12798"/>
      <c r="I12798"/>
    </row>
    <row r="12799" spans="2:9" ht="15" x14ac:dyDescent="0.25">
      <c r="B12799"/>
      <c r="C12799"/>
      <c r="D12799"/>
      <c r="E12799"/>
      <c r="F12799"/>
      <c r="G12799" s="20"/>
      <c r="H12799"/>
      <c r="I12799"/>
    </row>
    <row r="12800" spans="2:9" ht="15" x14ac:dyDescent="0.25">
      <c r="B12800"/>
      <c r="C12800"/>
      <c r="D12800"/>
      <c r="E12800"/>
      <c r="F12800"/>
      <c r="G12800" s="20"/>
      <c r="H12800"/>
      <c r="I12800"/>
    </row>
    <row r="12801" spans="2:9" ht="15" x14ac:dyDescent="0.25">
      <c r="B12801"/>
      <c r="C12801"/>
      <c r="D12801"/>
      <c r="E12801"/>
      <c r="F12801"/>
      <c r="G12801" s="20"/>
      <c r="H12801"/>
      <c r="I12801"/>
    </row>
    <row r="12802" spans="2:9" ht="15" x14ac:dyDescent="0.25">
      <c r="B12802"/>
      <c r="C12802"/>
      <c r="D12802"/>
      <c r="E12802"/>
      <c r="F12802"/>
      <c r="G12802" s="20"/>
      <c r="H12802"/>
      <c r="I12802"/>
    </row>
    <row r="12803" spans="2:9" ht="15" x14ac:dyDescent="0.25">
      <c r="B12803"/>
      <c r="C12803"/>
      <c r="D12803"/>
      <c r="E12803"/>
      <c r="F12803"/>
      <c r="G12803" s="20"/>
      <c r="H12803"/>
      <c r="I12803"/>
    </row>
    <row r="12804" spans="2:9" ht="15" x14ac:dyDescent="0.25">
      <c r="B12804"/>
      <c r="C12804"/>
      <c r="D12804"/>
      <c r="E12804"/>
      <c r="F12804"/>
      <c r="G12804" s="20"/>
      <c r="H12804"/>
      <c r="I12804"/>
    </row>
    <row r="12805" spans="2:9" ht="15" x14ac:dyDescent="0.25">
      <c r="B12805"/>
      <c r="C12805"/>
      <c r="D12805"/>
      <c r="E12805"/>
      <c r="F12805"/>
      <c r="G12805" s="20"/>
      <c r="H12805"/>
      <c r="I12805"/>
    </row>
    <row r="12806" spans="2:9" ht="15" x14ac:dyDescent="0.25">
      <c r="B12806"/>
      <c r="C12806"/>
      <c r="D12806"/>
      <c r="E12806"/>
      <c r="F12806"/>
      <c r="G12806" s="20"/>
      <c r="H12806"/>
      <c r="I12806"/>
    </row>
  </sheetData>
  <sortState xmlns:xlrd2="http://schemas.microsoft.com/office/spreadsheetml/2017/richdata2" ref="B3:F1214">
    <sortCondition ref="B3:B1214"/>
    <sortCondition ref="D3:D121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2025 R2 Industry Suggestions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 Robinson</dc:creator>
  <cp:lastModifiedBy>Tonmoy Dasgupta</cp:lastModifiedBy>
  <dcterms:created xsi:type="dcterms:W3CDTF">2016-01-27T14:41:09Z</dcterms:created>
  <dcterms:modified xsi:type="dcterms:W3CDTF">2026-01-08T22:23:27Z</dcterms:modified>
</cp:coreProperties>
</file>